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4388" windowHeight="7692" firstSheet="2" activeTab="2"/>
  </bookViews>
  <sheets>
    <sheet name="Planilha Orcamentária" sheetId="1" state="hidden" r:id="rId1"/>
    <sheet name="O Q foi PAGO" sheetId="2" state="hidden" r:id="rId2"/>
    <sheet name="Cronograma Físico-Financeiro" sheetId="3" r:id="rId3"/>
    <sheet name="O Q foi PAGO (2)" sheetId="4" state="hidden" r:id="rId4"/>
  </sheets>
  <definedNames>
    <definedName name="_xlnm.Print_Area" localSheetId="2">'Cronograma Físico-Financeiro'!$A$1:$J$44</definedName>
    <definedName name="_xlnm.Print_Area" localSheetId="0">'Planilha Orcamentária'!$A$1:$H$62</definedName>
    <definedName name="EMPRESAS">OFFSET(#REF!,1,0):OFFSET(#REF!,-1,0)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"$#REF!.$A$1:$B$3278"</definedName>
    <definedName name="Excel_BuiltIn__FilterDatabase_6_1">NA()</definedName>
    <definedName name="Excel_BuiltIn_Print_Area">"$#REF!.$B$1:$N$9"</definedName>
    <definedName name="Excel_BuiltIn_Print_Titles">"$#REF!.$A$1:$AMJ$9"</definedName>
    <definedName name="INDICES">OFFSET(#REF!,1,0):OFFSET(#REF!,-1,0)</definedName>
    <definedName name="NCOTACOES">15</definedName>
    <definedName name="NEMPRESAS">15</definedName>
    <definedName name="NINDICES">3</definedName>
    <definedName name="_xlnm.Print_Titles" localSheetId="0">'Planilha Orcamentária'!$1:$12</definedName>
  </definedNames>
  <calcPr fullCalcOnLoad="1"/>
</workbook>
</file>

<file path=xl/sharedStrings.xml><?xml version="1.0" encoding="utf-8"?>
<sst xmlns="http://schemas.openxmlformats.org/spreadsheetml/2006/main" count="680" uniqueCount="311">
  <si>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</si>
  <si>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</si>
  <si>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</si>
  <si>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</si>
  <si>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</si>
  <si>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</si>
  <si>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</si>
  <si>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</si>
  <si>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</si>
  <si>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</si>
  <si>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</si>
  <si>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>CREA</t>
  </si>
  <si>
    <t xml:space="preserve">FORMA DE EXECUÇÃO: </t>
  </si>
  <si>
    <t>PREÇO UNITÁRIO S/ LDI</t>
  </si>
  <si>
    <t>PREÇO UNITÁRIO C/ LDI</t>
  </si>
  <si>
    <t>M2</t>
  </si>
  <si>
    <t>1.1</t>
  </si>
  <si>
    <t>INSTALAÇÕES INICIAIS DA OBRA</t>
  </si>
  <si>
    <t>1.2</t>
  </si>
  <si>
    <t>2.1</t>
  </si>
  <si>
    <t>2.2</t>
  </si>
  <si>
    <t>2.3</t>
  </si>
  <si>
    <t>3.1</t>
  </si>
  <si>
    <t>M</t>
  </si>
  <si>
    <t>TOTAL GERAL DA OBRA</t>
  </si>
  <si>
    <t xml:space="preserve">FOLHA Nº: </t>
  </si>
  <si>
    <t>(  x  )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</si>
  <si>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</si>
  <si>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</si>
  <si>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</si>
  <si>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</si>
  <si>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</si>
  <si>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</si>
  <si>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</si>
  <si>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</si>
  <si>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</si>
  <si>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Físico %</t>
  </si>
  <si>
    <t>Financeiro</t>
  </si>
  <si>
    <t>TOTAL</t>
  </si>
  <si>
    <t>PREFEITURA: Prefeitura Municipal de Coração de Jesus</t>
  </si>
  <si>
    <t>R.T: Eng. Civil Eduardo Marques Dias</t>
  </si>
  <si>
    <t>45.984/D-MG</t>
  </si>
  <si>
    <t xml:space="preserve">M3 </t>
  </si>
  <si>
    <t>2.1.1</t>
  </si>
  <si>
    <t>2.3.1</t>
  </si>
  <si>
    <t>3.1.1</t>
  </si>
  <si>
    <t>3.1.2</t>
  </si>
  <si>
    <t>3.1.3</t>
  </si>
  <si>
    <t>4.1.1</t>
  </si>
  <si>
    <t>4.1.2</t>
  </si>
  <si>
    <t>4.1.3</t>
  </si>
  <si>
    <t>Pedro Magalhães Araújo Neto - Prefeito Municipal de Coração de Jesus</t>
  </si>
  <si>
    <t>A N E X O   I I</t>
  </si>
  <si>
    <t>OBRA: Reforma da Praça Ferreira Leal</t>
  </si>
  <si>
    <t>DATA: 20/03/2014</t>
  </si>
  <si>
    <t>REGIÃO/MÊS DE REFERÊNCIA: Região Norte - Dezembro/2013 e Janeiro/2014</t>
  </si>
  <si>
    <t>PRAZO DE EXECUÇÃO: 02 Meses</t>
  </si>
  <si>
    <t>PISO</t>
  </si>
  <si>
    <t>OBR-VIA-210</t>
  </si>
  <si>
    <t>EXECUÇÃO DE CALÇAMENTO EM BLOQUETE - E = 6 CM - FCK = 25 MPA, INCLUINDO FORNECIMENTO E TRANSPORTE DE TODOS OS MATERIAIS, COLCHÃO DE ASSENTAMENTO E = 6 CM</t>
  </si>
  <si>
    <t xml:space="preserve">M2 </t>
  </si>
  <si>
    <t>PIN-ACR-025</t>
  </si>
  <si>
    <t xml:space="preserve">PINTURA ACRÍLICA SOBRE PISOS CIMENTADOS </t>
  </si>
  <si>
    <t>MIRANTE</t>
  </si>
  <si>
    <t>PIN-SEL-005</t>
  </si>
  <si>
    <t>PREPARAÇÃO PARA PINTURA EM PAREDES, PVA/ACRÍLICA COM FUNDO SELADOR</t>
  </si>
  <si>
    <t>PIN-ACR-005</t>
  </si>
  <si>
    <t>PINTURA ACRÍLICA, EM PAREDES, 2 DEMÃOS SEM MASSA CORRIDA, EXCLUSIVE FUNDO SELADOR</t>
  </si>
  <si>
    <t>GUARDA-CORPO</t>
  </si>
  <si>
    <t>EST-FOR-005</t>
  </si>
  <si>
    <t>FORMA E DESFORMA EM TÁBUAS DE PINHO, EXCLUSIVE ESCORAMENTO (3X) (PILARETES)</t>
  </si>
  <si>
    <t>EST-CON-015</t>
  </si>
  <si>
    <t>2.3.2</t>
  </si>
  <si>
    <t>FORNECIMENTO E LANÇAMENTO DE CONCRETO ESTRUTURAL VIRADO EM OBRA FCK &gt;= 13,5 MPA, BRITA 1 E 2 EM ESTRUTURA (PILARETES)</t>
  </si>
  <si>
    <t>2.3.3</t>
  </si>
  <si>
    <t>PIN-LAT-005</t>
  </si>
  <si>
    <t>PINTURA LÁTEX PVA, EM PAREDES, 2 DEMÃOS SEM MASSA CORRIDA, EXCLUSIVE FUNDO SELADOR (FECHAMENTO H=40 CM)</t>
  </si>
  <si>
    <t xml:space="preserve"> TUBO DE AÇO GALVANIZADO 2" (50MM) - FORNECIMENTO E INSTALACAO (GUARDA-CORPO)</t>
  </si>
  <si>
    <t>PIN-ESM-030</t>
  </si>
  <si>
    <t xml:space="preserve">M </t>
  </si>
  <si>
    <t>2.3.4</t>
  </si>
  <si>
    <t>2.3.5</t>
  </si>
  <si>
    <t>2.3.6</t>
  </si>
  <si>
    <t>PINTURA ÓLEO/ESMALTE, 2 DEMÃOS EM TUBO GALVANIZADO (GUARDA-CORPO)</t>
  </si>
  <si>
    <t>INSTALAÇÕES ELÉTRICAS</t>
  </si>
  <si>
    <t xml:space="preserve">UN </t>
  </si>
  <si>
    <t>ELE-LUM-070</t>
  </si>
  <si>
    <t>LUMINÁRIA REFLETORA PARA ILUMINAÇÃO PÚBLICA COM LÂMPADA VAPOR DE MERCÚRIO, 6 REFLETORES DE 400W EM POSTE DE CONCRETO COM 9 M DE ALTURA (COMPLETA)</t>
  </si>
  <si>
    <t xml:space="preserve">PÇ </t>
  </si>
  <si>
    <t>PAISAGISMO</t>
  </si>
  <si>
    <t xml:space="preserve">BANCO DE JARDIM EM CONCRETO TIPO 2, 150 X 40 CM, H = 45 CM </t>
  </si>
  <si>
    <t>BAN-JAR-015</t>
  </si>
  <si>
    <t>4.1</t>
  </si>
  <si>
    <t>ELE-CXS-085</t>
  </si>
  <si>
    <t>CAIXA DE PASSAGEM PARA PISO, METÁLICA, TAMPA ANTIDERRAPANTE, 400 X 400 X 200 CM</t>
  </si>
  <si>
    <t>ELE-ELE-020</t>
  </si>
  <si>
    <t xml:space="preserve">ELETRODUTO PVC RÍGIDO, ROSCA, INCLUSIVE CONEXÕES D = 1 1/4" </t>
  </si>
  <si>
    <t>ELE-CAB-025.7</t>
  </si>
  <si>
    <t>CABO DE COBRE ISOLAMENTO ANTI-CHAMA, SEÇÃO 10 MM2, 450/750 V - FLEXÍVEL (VERDE-AMARELO)</t>
  </si>
  <si>
    <t>ALVENARIA DE BLOCO DE CONCRETO E = 20 CM, APARENTE, VEDAÇÃO (FECHAMENTO H=40 CM)</t>
  </si>
  <si>
    <t>ALV-BLO-030</t>
  </si>
  <si>
    <t>HID-TUB-120</t>
  </si>
  <si>
    <t xml:space="preserve"> TUBO DE AÇO GALVANIZADO 1" (25MM) - FORNECIMENTO E INSTALACAO (GUARDA-CORPO)</t>
  </si>
  <si>
    <t>HID-TUB-105</t>
  </si>
  <si>
    <t>2.3.7</t>
  </si>
  <si>
    <t>3.2</t>
  </si>
  <si>
    <t>3.3</t>
  </si>
  <si>
    <t>3.4</t>
  </si>
  <si>
    <t>LOCAL: Praça Ferreira Leal, Centro, Municipio de Coração de Jesus-MG</t>
  </si>
  <si>
    <t>ELE-PAD-020</t>
  </si>
  <si>
    <t>PADRÃO CEMIG AÉREO TIPO D4, 27,1 &lt;= DEMANDA &lt;= 38 KVA,
TRIFÁSICO</t>
  </si>
  <si>
    <t>ELE-REL-005</t>
  </si>
  <si>
    <t>RELÉ FOTOELÉTRICO RM 10 120 V, 1200 VA COM BASE</t>
  </si>
  <si>
    <t>PLANILHA ORÇAMENTARIA DE CUSTOS - GERAL</t>
  </si>
  <si>
    <t>PREFEITURA: CORAÇÃO DE JESUS</t>
  </si>
  <si>
    <t>FOLHA N°:                  1</t>
  </si>
  <si>
    <t xml:space="preserve">OBRA: REFORMA DE PRAÇA </t>
  </si>
  <si>
    <t>DATA :                          23/05/2012</t>
  </si>
  <si>
    <t xml:space="preserve">LOCAL : CENTRO, PRAÇA FERREIRA LEAL </t>
  </si>
  <si>
    <t>FORMA DE EXECUÇÃO:</t>
  </si>
  <si>
    <t>REGIÃO/MÊS DE REFERÊNCIA: NORTE/MARÇO2012</t>
  </si>
  <si>
    <t>( ) DIRETA</t>
  </si>
  <si>
    <t>(X) INDIRETA</t>
  </si>
  <si>
    <t xml:space="preserve">PRAZO DE EXECUÇÃO: 3 MESES </t>
  </si>
  <si>
    <t xml:space="preserve">                LDI             26,00%</t>
  </si>
  <si>
    <t xml:space="preserve">DESCRIÇÃO DOS SERVIÇOS </t>
  </si>
  <si>
    <t>PREÇO UNITÁRIO S/LDI</t>
  </si>
  <si>
    <t>PREÇO UNITÁRIO C/LDI</t>
  </si>
  <si>
    <t xml:space="preserve">SERVIÇOS PRELIMINARES </t>
  </si>
  <si>
    <t xml:space="preserve">INSTALAÇÃO INICIAIS DA OBRA </t>
  </si>
  <si>
    <t>1.1.1</t>
  </si>
  <si>
    <t>IIO-BAR-046</t>
  </si>
  <si>
    <t>BARRAÇÃO DE OBRA</t>
  </si>
  <si>
    <t>M²</t>
  </si>
  <si>
    <t>1.1.2</t>
  </si>
  <si>
    <t>IIO-PLA-005</t>
  </si>
  <si>
    <t>FORNECIMENTO E COLOCAÇÃO DE PLACA DE OBRA EM CHAPA GALVANIZADA (3,00X1,50M) GOVERNO DE ESTADO</t>
  </si>
  <si>
    <t>UNI</t>
  </si>
  <si>
    <t>1.1.3</t>
  </si>
  <si>
    <t>IIO-LIG-010</t>
  </si>
  <si>
    <t>LIGAÇÃO PROVISÓRIA DE LUZ E FORÇA-PADRÃO PROVISÓRIA 30KVA</t>
  </si>
  <si>
    <t>1.1.4</t>
  </si>
  <si>
    <t>IIO-LIG-015</t>
  </si>
  <si>
    <t xml:space="preserve">LIGAÇÃO PROVISÓRIA DE AGUA E ESGOTO </t>
  </si>
  <si>
    <t xml:space="preserve">DEMOLIÇÃO E REMOÇÃO </t>
  </si>
  <si>
    <t>DEM-PIS-040</t>
  </si>
  <si>
    <t>DEMOLIÇÃO DE PASSEIO OU LAJE DE CONCRETO COM EQUIPAMENTO PNEUMÁTICO, INCLUSIVE AFASTAMENTO</t>
  </si>
  <si>
    <t xml:space="preserve">GRAMA E ÁRVORE </t>
  </si>
  <si>
    <t>PAI-GRA-015</t>
  </si>
  <si>
    <t xml:space="preserve">PLANTIO DE GRAMA ESMERALDA EM PLACAS, INCLUSIVE TERRA VEGETAL E CONSERVAÇÃO POR 30 DIAS </t>
  </si>
  <si>
    <t>PAI-COV-005</t>
  </si>
  <si>
    <t xml:space="preserve">PLANTIO E PREPARO DE COVAS DE ÁRVORE H MIN 1,80M COM COVA 60X60X60CM, EXCETO FORNOCIMENTO DE MUDAS </t>
  </si>
  <si>
    <t>PAI-MUD-010</t>
  </si>
  <si>
    <t xml:space="preserve">FORNOCIMENTO DE ÁRVORE - IPÊ ROSA </t>
  </si>
  <si>
    <t>3.1.4</t>
  </si>
  <si>
    <t>FORNECIMENTO DE ÁRVORE - FLAMBOYANT MIRIM</t>
  </si>
  <si>
    <t>3.1.5</t>
  </si>
  <si>
    <t>PAI-MUD-060</t>
  </si>
  <si>
    <t xml:space="preserve">FORNECIMENTO DE PALMEIRAS ARECA LUTESCENS </t>
  </si>
  <si>
    <t>3.1.6</t>
  </si>
  <si>
    <t>URB-COR-005</t>
  </si>
  <si>
    <t>CORDÃO DE CONCRETO PRÉ-MOLDADO BOLEADO 10X10CM</t>
  </si>
  <si>
    <t xml:space="preserve">INSTALAÇÃO HIDRÁULICA </t>
  </si>
  <si>
    <t xml:space="preserve">IRRIGAÇÃO </t>
  </si>
  <si>
    <t>HI-ADP-025</t>
  </si>
  <si>
    <t>ADAPTADOR SOLDÁVEL DE PVC MARROM COM FLANGES E ANEIS PARA CAIXA DE ÁGUA DN50MM X 1 1/2''</t>
  </si>
  <si>
    <t>HID-CXS-300</t>
  </si>
  <si>
    <t xml:space="preserve">CAIXA DE ÁGUA SUBTERRÂNEA, CAPACIDADE 15.000L, EM CONCRETO E CASAS DE BOMBAS </t>
  </si>
  <si>
    <t>HID-REG-105</t>
  </si>
  <si>
    <t>REGISTRO DE ESFERA EM PVC SOLDÁEL DN 32MM</t>
  </si>
  <si>
    <t>4.1.4</t>
  </si>
  <si>
    <t>HID-REG-030</t>
  </si>
  <si>
    <t>REGISTRO DE GAVETA BRUTO D= 32MM (1 1/4'')</t>
  </si>
  <si>
    <t>4.1.5</t>
  </si>
  <si>
    <t>HID-REG-035</t>
  </si>
  <si>
    <t>REGISTRO DE GAVETA BRUTO D= 40MM (1 1/2'')</t>
  </si>
  <si>
    <t>unid.</t>
  </si>
  <si>
    <t>4.1.6</t>
  </si>
  <si>
    <t>HID-TUB-015</t>
  </si>
  <si>
    <t>TUBO PVC RÍGIDO SOLDÁVEL, ÁGUA INCLUSIVE CONEXÕES E SUPORTE , 32MM</t>
  </si>
  <si>
    <t>4.1.7</t>
  </si>
  <si>
    <t>HID-TUB-010</t>
  </si>
  <si>
    <t>TUDO PVC RÍGIDO SOLDÁVEL , ÁGUA INCLUISIVE CONEXÕES E SUPORTES , 25MM</t>
  </si>
  <si>
    <t>4.1.8</t>
  </si>
  <si>
    <t>HID-TUB-020</t>
  </si>
  <si>
    <t>TUDO PVC RÍGIDO SOLDÁVEL , ÁGUA INCLUISIVE CONEXÕES E SUPORTES , 40MM</t>
  </si>
  <si>
    <t>4.1.9</t>
  </si>
  <si>
    <t>HID-TUB-025</t>
  </si>
  <si>
    <t>TUDO PVC RÍGIDO SOLDÁVEL , ÁGUA INCLUISIVE CONEXÕES E SUPORTES , 50MM</t>
  </si>
  <si>
    <t>4.1.10</t>
  </si>
  <si>
    <t>HID-BOM-035</t>
  </si>
  <si>
    <t>CONJUNTO ELEVATÓTIO MOTOR-BOMBA (CONTRÍFUGA) DE 3HP</t>
  </si>
  <si>
    <t>4.1.11</t>
  </si>
  <si>
    <t>MET-TOR-010</t>
  </si>
  <si>
    <t>TORNEIRA DE IRRIGAÇÃO D= 1/2''</t>
  </si>
  <si>
    <t xml:space="preserve">INSTALAÇÕES ELÉTRICAS </t>
  </si>
  <si>
    <t>5.1</t>
  </si>
  <si>
    <t xml:space="preserve">ILUMINAÇÃO </t>
  </si>
  <si>
    <t>5.1.1</t>
  </si>
  <si>
    <t>ELETRODUTO PVC RÍGIDO , ROSCA , INCLUSIVE CONEXÕES D= 1 1/4''</t>
  </si>
  <si>
    <t>5.1.2</t>
  </si>
  <si>
    <t>ELE-ELE-025</t>
  </si>
  <si>
    <t>ELETRODUTO PVC RÍGIDO , ROSCA , INCLUSIVE CONEXÕES D= 1 1/2''</t>
  </si>
  <si>
    <t>5.1.3</t>
  </si>
  <si>
    <t xml:space="preserve">PADRÃO CEMIG AEREO TIPO D4, 27,1&lt;=388&lt;VA, TRIFÁSICO </t>
  </si>
  <si>
    <t>5.1.4</t>
  </si>
  <si>
    <t>ELE-QUA-010</t>
  </si>
  <si>
    <t>QUADRO DE DISTRIBUIÇÃO PARA 20 MÓDULOS COM BARRAMENTO 100A</t>
  </si>
  <si>
    <t>5.1.5</t>
  </si>
  <si>
    <t>ELE-CAB-035.7</t>
  </si>
  <si>
    <t>CABO DE COBRE ISOLAMENTO ANTI-CHAMAS , SEÇÃO 25MM², 450/750V, FLEXÍVEL /VERDE-AMARELO</t>
  </si>
  <si>
    <t>5.1.6</t>
  </si>
  <si>
    <t>ELE-CAB-030.7</t>
  </si>
  <si>
    <t>CABO DE COBRE ISOLAMENTO ANTI-CHAMAS , SEÇÃO 16MM², 450/750V, FLEXÍVEL /VERDE-AMARELO</t>
  </si>
  <si>
    <t>5.1.7</t>
  </si>
  <si>
    <t>ELE-CAB-020.2</t>
  </si>
  <si>
    <t>CABO DE COBRE ISOLAMENTO ANTI-CHAMAS , SEÇÃO 6MM², 450/750V, FLEXÍVEL (PRETO)</t>
  </si>
  <si>
    <t>5.1.8</t>
  </si>
  <si>
    <t>ELE-CAB-020.5</t>
  </si>
  <si>
    <t>CABO DE COBRE ISOLAMENTO ANTI-CHAMAS , SEÇÃO 6MM², 450/750V, FLEXÍVEL (AZUL)</t>
  </si>
  <si>
    <t>5.1.9</t>
  </si>
  <si>
    <t>ELE-CAB-015.6</t>
  </si>
  <si>
    <t>CABO DE COBRE ISOLAMENTO ANTI-CHAMAS , SEÇÃO 4MM², 450/750V, FLEXÍVEL (VERDE)</t>
  </si>
  <si>
    <t>5.1.10</t>
  </si>
  <si>
    <t>ELE-CAB-020.6</t>
  </si>
  <si>
    <t>CABO DE COBRE ISOLAMENTO ANTI-CHAMAS , SEÇÃO 6MM², 450/750V, FLEXÍVEL (VERDE)</t>
  </si>
  <si>
    <t>5.1.11</t>
  </si>
  <si>
    <t>ELE-DIS-083</t>
  </si>
  <si>
    <t>DISJUNTOR TRIPOLAR TERMOMAGNÉTICO 5KA, DE 60A</t>
  </si>
  <si>
    <t>5.1.12</t>
  </si>
  <si>
    <t>ELE-DIS-060</t>
  </si>
  <si>
    <t>DISJUNTOR BIPOLAR TERMOMAGNÉTICO 5KA, DE 10A</t>
  </si>
  <si>
    <t>5.1.13</t>
  </si>
  <si>
    <t>ELE-DIS-061</t>
  </si>
  <si>
    <t>DISJUNTOR BIPOLAR TERMOMAGNÉTICO 5KA, DE 15A</t>
  </si>
  <si>
    <t>5.1.14</t>
  </si>
  <si>
    <t>ELE-CXS-370</t>
  </si>
  <si>
    <t xml:space="preserve">CAIXA DE PASSAGEM 15X15CM EM CHAPA DE FERRO COM TAMPA CEGA </t>
  </si>
  <si>
    <t>5.1.15</t>
  </si>
  <si>
    <t>ELE-ATE-005</t>
  </si>
  <si>
    <t>ATERRAMENTO COMPLETO, COM HASTES COPPERWLD 5/8'' X 2,40M</t>
  </si>
  <si>
    <t>5.1.16</t>
  </si>
  <si>
    <t>ELE-COR-005</t>
  </si>
  <si>
    <t xml:space="preserve">CABO COBRE NU # 6 MM² INCLUSIVE SUPORTE </t>
  </si>
  <si>
    <t>5.1.17</t>
  </si>
  <si>
    <t>SPDA-TER-045</t>
  </si>
  <si>
    <t>TERMINAL A COMPRESSÃO EM COBRE ESTANHADO PARA CABO 35MM²</t>
  </si>
  <si>
    <t>5.1.18</t>
  </si>
  <si>
    <t>ELE-LAM-057</t>
  </si>
  <si>
    <t>LÂMPADA MISTA DE 160W/220V</t>
  </si>
  <si>
    <t>5.1.19</t>
  </si>
  <si>
    <t>RELE FOTOLÉTRICO RM 10 120V, 1200VA COM BASE</t>
  </si>
  <si>
    <t>5.1.20</t>
  </si>
  <si>
    <t>ELE-POS-005</t>
  </si>
  <si>
    <t>POSTE DE AÇO GALVANIZADO A FOGO H-3,00 M , FIXAÇÃO POR BASE COM CHUMBADOR - COM DIFUSOR EM VIDRO  V-01 PARA LÂMPADA MISTA DE 160W</t>
  </si>
  <si>
    <t>PISOS</t>
  </si>
  <si>
    <t>6.1</t>
  </si>
  <si>
    <t xml:space="preserve">ÁREA DE LAZER </t>
  </si>
  <si>
    <t>6.1.1</t>
  </si>
  <si>
    <t>EXECUÇÃO DE CALÇAMENTO EM BLOQUETE -E=6CM, FCK=25MPA, INCLUINDO FORNECIMENTO E TRANSPORTE DE TODOS OS MATERIAIS, COLCHÃO DE ASSENTAMENTO E= 6CM</t>
  </si>
  <si>
    <t>6.1.2</t>
  </si>
  <si>
    <t>PIS-CER-005</t>
  </si>
  <si>
    <t xml:space="preserve">PISO CERÂMICO VERMELHO NATURAL 24X5,2 CM, ASSENTADO COM ARGAMASSA PRÉ-FABRICADA, INCUSIVE REJUNTAMENTO </t>
  </si>
  <si>
    <t>7.1</t>
  </si>
  <si>
    <t>ÁREA DE LAZER</t>
  </si>
  <si>
    <t>7.1.1</t>
  </si>
  <si>
    <t>ALV-BLO-010</t>
  </si>
  <si>
    <t xml:space="preserve">ALVENARIA DE BLOCO DE CONCRETO E= 15CM A REVESTIR , VEDAÇÃO </t>
  </si>
  <si>
    <t>7.1.2</t>
  </si>
  <si>
    <t>SEE-EST-045</t>
  </si>
  <si>
    <t>VIGA DE 0,21 A 0,35M DE LARGURA EM CONCRETO 20MPA, APARENTE, AFIRMAÇÃO, FORMA PLASTIFICADA, ESCORAMENTO DE DESFORMA</t>
  </si>
  <si>
    <t>M³</t>
  </si>
  <si>
    <t>7.1.3</t>
  </si>
  <si>
    <t>TER-ATE-015</t>
  </si>
  <si>
    <t xml:space="preserve">ATERRO COMPACTO MANUAL, COM SOQUETE </t>
  </si>
  <si>
    <t>7.1.4</t>
  </si>
  <si>
    <t>REV-CHA-005</t>
  </si>
  <si>
    <t xml:space="preserve">CHAPISCO DE PAREDES COM ARGAMASSA 1:3 CIMENTO E AREIA , A COLHER </t>
  </si>
  <si>
    <t>7.1.5</t>
  </si>
  <si>
    <t>REV-REB-010</t>
  </si>
  <si>
    <t xml:space="preserve">REBOCO COM ARGAMASSA 1:2:9 CIMENTO , CAL E AREIA COM ADITIVO IMPERMEABILIZANTE </t>
  </si>
  <si>
    <t>7.1.6</t>
  </si>
  <si>
    <t>7.1.7</t>
  </si>
  <si>
    <t>PINTURA ACRÍLICA, EM PAREDES, 2 DEMÃOS SEM MASSA CORRIDA, INCUSIVE FUNDO SELADOR</t>
  </si>
  <si>
    <t>7.1.8</t>
  </si>
  <si>
    <t>PIS-CIM-035</t>
  </si>
  <si>
    <t>PISO CIMENTADO DESEMPENADO E FELTRADO, ARGAMASSA 1:3, JUNTAS PL 17X30 E= 5CM, COM JUNTA DE 1X1M</t>
  </si>
  <si>
    <t>7.1.9</t>
  </si>
  <si>
    <t>SEE-EST-010</t>
  </si>
  <si>
    <t xml:space="preserve">PILARETE DE CONCRETO 17X20CM , CONCRETO 20MPA , APARENTE NA FACE EXTERNA, INCLUSIVE FORMA E AÇO, EM GUARDA-CORPO NAS CIRCULAÇÕES </t>
  </si>
  <si>
    <t>7.1.10</t>
  </si>
  <si>
    <t>SER-COR-015</t>
  </si>
  <si>
    <t>GUARDA-CORPO EM TUBO GALVANIZADO DIN 2440 D=2'', COM SUBDIVISÕES EM TUBO DE AÇO D= 1/2'', H=1,05M</t>
  </si>
  <si>
    <t>MEDIDO</t>
  </si>
  <si>
    <t>FALTA</t>
  </si>
  <si>
    <t>Eng. Civil Adenise de Sousa Martins</t>
  </si>
  <si>
    <t>RUA NOZINHO PRATES</t>
  </si>
  <si>
    <t>RUA JOSE OLEGARIO L.</t>
  </si>
  <si>
    <t>RUA AMINTAS SALES</t>
  </si>
  <si>
    <t>RUA JUCA DE QUEIROZ</t>
  </si>
  <si>
    <t>RUA FILOGONIO LAGOEIRO</t>
  </si>
  <si>
    <t>RUA JESUS CHATEUBRIAND</t>
  </si>
  <si>
    <t>RUA ÁLVARO AUGUSTO DE LÉLIS</t>
  </si>
  <si>
    <t>RUA FRANCISCO ANTUNES FERREIRA</t>
  </si>
  <si>
    <t>MÊS 6</t>
  </si>
  <si>
    <t>CREA-MG 194.745/D</t>
  </si>
  <si>
    <t>Robson Adalberto Mota Dias</t>
  </si>
  <si>
    <t>Prefeito Municipal</t>
  </si>
  <si>
    <t>PRAZO DE EXECUÇÃO: 06 MESES</t>
  </si>
  <si>
    <t>DATA: 11/12/2023</t>
  </si>
  <si>
    <t>VALOR:  R$ 646.477,82</t>
  </si>
</sst>
</file>

<file path=xl/styles.xml><?xml version="1.0" encoding="utf-8"?>
<styleSheet xmlns="http://schemas.openxmlformats.org/spreadsheetml/2006/main">
  <numFmts count="7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0.0%"/>
    <numFmt numFmtId="184" formatCode="&quot;R$&quot;\ #,##0.0;[Red]\-&quot;R$&quot;\ #,##0.0"/>
    <numFmt numFmtId="185" formatCode="&quot;R$&quot;\ #,##0.00"/>
    <numFmt numFmtId="186" formatCode="&quot;Ativado&quot;;&quot;Ativado&quot;;&quot;Desativado&quot;"/>
    <numFmt numFmtId="187" formatCode="[$-416]dddd\,\ d&quot; de &quot;mmmm&quot; de &quot;yyyy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00"/>
    <numFmt numFmtId="195" formatCode="0.0000"/>
    <numFmt numFmtId="196" formatCode="d\ mmmm\,\ yyyy"/>
    <numFmt numFmtId="197" formatCode="mmm/yyyy"/>
    <numFmt numFmtId="198" formatCode="0.0"/>
    <numFmt numFmtId="199" formatCode="0_);[Red]\(0\)"/>
    <numFmt numFmtId="200" formatCode="00"/>
    <numFmt numFmtId="201" formatCode="[$-416]mmm/yyyy;@"/>
    <numFmt numFmtId="202" formatCode="dd/mm/yy;@"/>
    <numFmt numFmtId="203" formatCode="0.000%"/>
    <numFmt numFmtId="204" formatCode="0.0000%"/>
    <numFmt numFmtId="205" formatCode="[$-416]mmmm\-yy;@"/>
    <numFmt numFmtId="206" formatCode="d/m/yy;@"/>
    <numFmt numFmtId="207" formatCode="[$-416]mmm\-yyyy;@"/>
    <numFmt numFmtId="208" formatCode="[$-416]mmmm\-yyyy;@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00000_-;\-* #,##0.000000_-;_-* &quot;-&quot;??_-;_-@_-"/>
    <numFmt numFmtId="213" formatCode="#,##0.0000_);\(#,##0.0000\)"/>
    <numFmt numFmtId="214" formatCode="_-* #,##0.0000000_-;\-* #,##0.0000000_-;_-* &quot;-&quot;??_-;_-@_-"/>
    <numFmt numFmtId="215" formatCode="_(* #,##0.0000_);_(* \(#,##0.0000\);_(* &quot;-&quot;??_);_(@_)"/>
    <numFmt numFmtId="216" formatCode="_-* #,##0.0000000_-;\-* #,##0.0000000_-;_-* &quot;-&quot;???????_-;_-@_-"/>
    <numFmt numFmtId="217" formatCode="#,##0.000"/>
    <numFmt numFmtId="218" formatCode="#,##0.0000"/>
    <numFmt numFmtId="219" formatCode="#,##0.0"/>
    <numFmt numFmtId="220" formatCode="&quot;R$&quot;#,##0.00"/>
    <numFmt numFmtId="221" formatCode="0.0000000000000"/>
    <numFmt numFmtId="222" formatCode="0.00000"/>
    <numFmt numFmtId="223" formatCode="_(\ #,##0.00_);_(\ \(#,##0.00\);_(\ &quot;-&quot;??_);_(@_)"/>
    <numFmt numFmtId="224" formatCode="_(* #,##0.000_);_(* \(#,##0.000\);_(* &quot;-&quot;??_);_(@_)"/>
    <numFmt numFmtId="225" formatCode="#,##0.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u val="single"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7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2" fontId="1" fillId="0" borderId="18" xfId="72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177" fontId="1" fillId="0" borderId="18" xfId="72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0" xfId="72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2" fontId="1" fillId="0" borderId="23" xfId="72" applyNumberFormat="1" applyFont="1" applyFill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10" fontId="2" fillId="0" borderId="28" xfId="58" applyNumberFormat="1" applyFont="1" applyFill="1" applyBorder="1" applyAlignment="1">
      <alignment horizontal="center" vertical="center"/>
    </xf>
    <xf numFmtId="0" fontId="0" fillId="32" borderId="0" xfId="52" applyFill="1">
      <alignment/>
      <protection/>
    </xf>
    <xf numFmtId="0" fontId="0" fillId="32" borderId="0" xfId="52" applyFill="1" applyAlignment="1">
      <alignment wrapText="1"/>
      <protection/>
    </xf>
    <xf numFmtId="2" fontId="6" fillId="0" borderId="18" xfId="72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67" fontId="0" fillId="0" borderId="0" xfId="0" applyNumberFormat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quotePrefix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justify"/>
    </xf>
    <xf numFmtId="0" fontId="0" fillId="0" borderId="29" xfId="0" applyBorder="1" applyAlignment="1">
      <alignment vertical="justify"/>
    </xf>
    <xf numFmtId="0" fontId="0" fillId="33" borderId="29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85" fontId="0" fillId="0" borderId="29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33" borderId="29" xfId="0" applyNumberFormat="1" applyFill="1" applyBorder="1" applyAlignment="1">
      <alignment horizontal="center"/>
    </xf>
    <xf numFmtId="167" fontId="11" fillId="0" borderId="29" xfId="0" applyNumberFormat="1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167" fontId="2" fillId="0" borderId="29" xfId="0" applyNumberFormat="1" applyFont="1" applyBorder="1" applyAlignment="1">
      <alignment horizontal="center"/>
    </xf>
    <xf numFmtId="185" fontId="2" fillId="0" borderId="29" xfId="0" applyNumberFormat="1" applyFont="1" applyBorder="1" applyAlignment="1">
      <alignment horizontal="center"/>
    </xf>
    <xf numFmtId="0" fontId="2" fillId="0" borderId="29" xfId="72" applyNumberFormat="1" applyFont="1" applyBorder="1" applyAlignment="1">
      <alignment horizontal="center" vertical="center"/>
    </xf>
    <xf numFmtId="10" fontId="0" fillId="0" borderId="0" xfId="58" applyNumberFormat="1" applyFont="1" applyAlignment="1">
      <alignment/>
    </xf>
    <xf numFmtId="185" fontId="0" fillId="0" borderId="0" xfId="0" applyNumberFormat="1" applyAlignment="1">
      <alignment/>
    </xf>
    <xf numFmtId="0" fontId="2" fillId="35" borderId="29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185" fontId="2" fillId="35" borderId="29" xfId="0" applyNumberFormat="1" applyFont="1" applyFill="1" applyBorder="1" applyAlignment="1">
      <alignment horizontal="center"/>
    </xf>
    <xf numFmtId="167" fontId="2" fillId="35" borderId="29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29" xfId="72" applyNumberFormat="1" applyFont="1" applyFill="1" applyBorder="1" applyAlignment="1">
      <alignment horizontal="center" vertical="center"/>
    </xf>
    <xf numFmtId="0" fontId="0" fillId="35" borderId="29" xfId="0" applyFill="1" applyBorder="1" applyAlignment="1">
      <alignment horizontal="center"/>
    </xf>
    <xf numFmtId="0" fontId="0" fillId="35" borderId="29" xfId="0" applyFill="1" applyBorder="1" applyAlignment="1">
      <alignment/>
    </xf>
    <xf numFmtId="185" fontId="0" fillId="35" borderId="29" xfId="0" applyNumberFormat="1" applyFill="1" applyBorder="1" applyAlignment="1">
      <alignment horizontal="center"/>
    </xf>
    <xf numFmtId="167" fontId="0" fillId="35" borderId="29" xfId="0" applyNumberFormat="1" applyFill="1" applyBorder="1" applyAlignment="1">
      <alignment horizontal="center"/>
    </xf>
    <xf numFmtId="0" fontId="0" fillId="35" borderId="0" xfId="0" applyFill="1" applyAlignment="1">
      <alignment/>
    </xf>
    <xf numFmtId="10" fontId="2" fillId="35" borderId="0" xfId="0" applyNumberFormat="1" applyFont="1" applyFill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" fillId="32" borderId="29" xfId="52" applyFont="1" applyFill="1" applyBorder="1" applyAlignment="1">
      <alignment horizontal="center" vertical="center"/>
      <protection/>
    </xf>
    <xf numFmtId="0" fontId="2" fillId="32" borderId="29" xfId="52" applyFont="1" applyFill="1" applyBorder="1" applyAlignment="1">
      <alignment horizontal="center" vertical="center" wrapText="1"/>
      <protection/>
    </xf>
    <xf numFmtId="49" fontId="7" fillId="32" borderId="29" xfId="52" applyNumberFormat="1" applyFont="1" applyFill="1" applyBorder="1" applyAlignment="1">
      <alignment horizontal="center" vertical="top" wrapText="1"/>
      <protection/>
    </xf>
    <xf numFmtId="10" fontId="8" fillId="32" borderId="29" xfId="52" applyNumberFormat="1" applyFont="1" applyFill="1" applyBorder="1" applyAlignment="1">
      <alignment vertical="top" wrapText="1"/>
      <protection/>
    </xf>
    <xf numFmtId="10" fontId="7" fillId="32" borderId="29" xfId="52" applyNumberFormat="1" applyFont="1" applyFill="1" applyBorder="1" applyAlignment="1">
      <alignment vertical="top" wrapText="1"/>
      <protection/>
    </xf>
    <xf numFmtId="10" fontId="7" fillId="32" borderId="29" xfId="73" applyNumberFormat="1" applyFont="1" applyFill="1" applyBorder="1" applyAlignment="1">
      <alignment vertical="top" wrapText="1"/>
    </xf>
    <xf numFmtId="182" fontId="7" fillId="32" borderId="29" xfId="52" applyNumberFormat="1" applyFont="1" applyFill="1" applyBorder="1" applyAlignment="1">
      <alignment vertical="top" wrapText="1"/>
      <protection/>
    </xf>
    <xf numFmtId="0" fontId="52" fillId="0" borderId="29" xfId="0" applyFont="1" applyFill="1" applyBorder="1" applyAlignment="1">
      <alignment horizontal="left" vertical="center"/>
    </xf>
    <xf numFmtId="49" fontId="8" fillId="32" borderId="29" xfId="52" applyNumberFormat="1" applyFont="1" applyFill="1" applyBorder="1" applyAlignment="1">
      <alignment horizontal="center" vertical="top" wrapText="1"/>
      <protection/>
    </xf>
    <xf numFmtId="0" fontId="2" fillId="32" borderId="30" xfId="52" applyFont="1" applyFill="1" applyBorder="1" applyAlignment="1">
      <alignment horizontal="center" vertical="center"/>
      <protection/>
    </xf>
    <xf numFmtId="49" fontId="8" fillId="32" borderId="31" xfId="52" applyNumberFormat="1" applyFont="1" applyFill="1" applyBorder="1" applyAlignment="1">
      <alignment horizontal="center" vertical="top" wrapText="1"/>
      <protection/>
    </xf>
    <xf numFmtId="182" fontId="8" fillId="32" borderId="31" xfId="52" applyNumberFormat="1" applyFont="1" applyFill="1" applyBorder="1" applyAlignment="1">
      <alignment vertical="top" wrapText="1"/>
      <protection/>
    </xf>
    <xf numFmtId="220" fontId="7" fillId="32" borderId="29" xfId="48" applyNumberFormat="1" applyFont="1" applyFill="1" applyBorder="1" applyAlignment="1">
      <alignment vertical="top" wrapText="1"/>
    </xf>
    <xf numFmtId="220" fontId="7" fillId="32" borderId="29" xfId="52" applyNumberFormat="1" applyFont="1" applyFill="1" applyBorder="1" applyAlignment="1">
      <alignment vertical="top" wrapText="1"/>
      <protection/>
    </xf>
    <xf numFmtId="220" fontId="7" fillId="32" borderId="29" xfId="73" applyNumberFormat="1" applyFont="1" applyFill="1" applyBorder="1" applyAlignment="1">
      <alignment vertical="top" wrapText="1"/>
    </xf>
    <xf numFmtId="0" fontId="7" fillId="32" borderId="0" xfId="52" applyFont="1" applyFill="1">
      <alignment/>
      <protection/>
    </xf>
    <xf numFmtId="0" fontId="0" fillId="0" borderId="0" xfId="0" applyBorder="1" applyAlignment="1">
      <alignment/>
    </xf>
    <xf numFmtId="0" fontId="2" fillId="32" borderId="0" xfId="52" applyFont="1" applyFill="1" applyBorder="1" applyAlignment="1">
      <alignment vertical="center"/>
      <protection/>
    </xf>
    <xf numFmtId="0" fontId="2" fillId="32" borderId="0" xfId="52" applyFont="1" applyFill="1" applyBorder="1" applyAlignment="1">
      <alignment horizontal="center" vertical="center"/>
      <protection/>
    </xf>
    <xf numFmtId="10" fontId="7" fillId="32" borderId="0" xfId="52" applyNumberFormat="1" applyFont="1" applyFill="1" applyBorder="1" applyAlignment="1">
      <alignment vertical="top" wrapText="1"/>
      <protection/>
    </xf>
    <xf numFmtId="0" fontId="0" fillId="32" borderId="0" xfId="52" applyFill="1" applyBorder="1">
      <alignment/>
      <protection/>
    </xf>
    <xf numFmtId="0" fontId="8" fillId="32" borderId="32" xfId="52" applyFont="1" applyFill="1" applyBorder="1" applyAlignment="1">
      <alignment horizontal="center" vertical="center"/>
      <protection/>
    </xf>
    <xf numFmtId="0" fontId="7" fillId="32" borderId="32" xfId="52" applyFont="1" applyFill="1" applyBorder="1">
      <alignment/>
      <protection/>
    </xf>
    <xf numFmtId="10" fontId="8" fillId="32" borderId="32" xfId="52" applyNumberFormat="1" applyFont="1" applyFill="1" applyBorder="1" applyAlignment="1">
      <alignment vertical="top" wrapText="1"/>
      <protection/>
    </xf>
    <xf numFmtId="182" fontId="8" fillId="32" borderId="33" xfId="52" applyNumberFormat="1" applyFont="1" applyFill="1" applyBorder="1" applyAlignment="1">
      <alignment vertical="top" wrapText="1"/>
      <protection/>
    </xf>
    <xf numFmtId="4" fontId="0" fillId="32" borderId="0" xfId="52" applyNumberFormat="1" applyFill="1" applyBorder="1">
      <alignment/>
      <protection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52" fillId="0" borderId="29" xfId="0" applyFont="1" applyFill="1" applyBorder="1" applyAlignment="1">
      <alignment horizontal="left" vertical="center" wrapText="1"/>
    </xf>
    <xf numFmtId="10" fontId="7" fillId="32" borderId="32" xfId="52" applyNumberFormat="1" applyFont="1" applyFill="1" applyBorder="1" applyAlignment="1">
      <alignment vertical="top" wrapText="1"/>
      <protection/>
    </xf>
    <xf numFmtId="182" fontId="7" fillId="32" borderId="32" xfId="52" applyNumberFormat="1" applyFont="1" applyFill="1" applyBorder="1" applyAlignment="1">
      <alignment vertical="top" wrapText="1"/>
      <protection/>
    </xf>
    <xf numFmtId="10" fontId="7" fillId="32" borderId="32" xfId="52" applyNumberFormat="1" applyFont="1" applyFill="1" applyBorder="1">
      <alignment/>
      <protection/>
    </xf>
    <xf numFmtId="182" fontId="7" fillId="32" borderId="32" xfId="52" applyNumberFormat="1" applyFont="1" applyFill="1" applyBorder="1">
      <alignment/>
      <protection/>
    </xf>
    <xf numFmtId="0" fontId="0" fillId="32" borderId="0" xfId="52" applyFill="1" applyBorder="1" applyAlignment="1">
      <alignment wrapText="1"/>
      <protection/>
    </xf>
    <xf numFmtId="182" fontId="0" fillId="32" borderId="0" xfId="52" applyNumberFormat="1" applyFill="1" applyBorder="1">
      <alignment/>
      <protection/>
    </xf>
    <xf numFmtId="9" fontId="0" fillId="32" borderId="0" xfId="58" applyFont="1" applyFill="1" applyBorder="1" applyAlignment="1">
      <alignment/>
    </xf>
    <xf numFmtId="176" fontId="0" fillId="32" borderId="0" xfId="48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/>
    </xf>
    <xf numFmtId="0" fontId="2" fillId="0" borderId="37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0" fillId="0" borderId="29" xfId="0" applyBorder="1" applyAlignment="1">
      <alignment horizontal="left" vertical="justify"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8" fillId="0" borderId="30" xfId="52" applyFont="1" applyBorder="1" applyAlignment="1">
      <alignment horizontal="center" vertical="center" wrapText="1"/>
      <protection/>
    </xf>
    <xf numFmtId="0" fontId="52" fillId="0" borderId="29" xfId="0" applyFont="1" applyFill="1" applyBorder="1" applyAlignment="1">
      <alignment horizontal="left" vertical="center" wrapText="1"/>
    </xf>
    <xf numFmtId="0" fontId="2" fillId="32" borderId="30" xfId="52" applyFont="1" applyFill="1" applyBorder="1" applyAlignment="1">
      <alignment horizontal="center" vertical="center" wrapText="1"/>
      <protection/>
    </xf>
    <xf numFmtId="0" fontId="2" fillId="32" borderId="29" xfId="52" applyFont="1" applyFill="1" applyBorder="1" applyAlignment="1">
      <alignment horizontal="center" vertical="center" wrapText="1"/>
      <protection/>
    </xf>
    <xf numFmtId="0" fontId="2" fillId="32" borderId="56" xfId="52" applyFont="1" applyFill="1" applyBorder="1" applyAlignment="1">
      <alignment horizontal="center" vertical="center" wrapText="1"/>
      <protection/>
    </xf>
    <xf numFmtId="0" fontId="2" fillId="32" borderId="31" xfId="52" applyFont="1" applyFill="1" applyBorder="1" applyAlignment="1">
      <alignment horizontal="center" vertical="center" wrapText="1"/>
      <protection/>
    </xf>
    <xf numFmtId="0" fontId="2" fillId="32" borderId="30" xfId="52" applyFont="1" applyFill="1" applyBorder="1" applyAlignment="1">
      <alignment horizontal="center" vertical="center"/>
      <protection/>
    </xf>
    <xf numFmtId="0" fontId="2" fillId="32" borderId="29" xfId="52" applyFont="1" applyFill="1" applyBorder="1" applyAlignment="1">
      <alignment horizontal="center" vertical="center"/>
      <protection/>
    </xf>
    <xf numFmtId="0" fontId="2" fillId="32" borderId="32" xfId="52" applyFont="1" applyFill="1" applyBorder="1" applyAlignment="1">
      <alignment horizontal="center" vertical="center"/>
      <protection/>
    </xf>
    <xf numFmtId="0" fontId="0" fillId="0" borderId="5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32" borderId="58" xfId="52" applyFont="1" applyFill="1" applyBorder="1" applyAlignment="1">
      <alignment horizontal="center" vertical="center" wrapText="1"/>
      <protection/>
    </xf>
    <xf numFmtId="0" fontId="2" fillId="32" borderId="43" xfId="52" applyFont="1" applyFill="1" applyBorder="1" applyAlignment="1">
      <alignment horizontal="center" vertical="center" wrapText="1"/>
      <protection/>
    </xf>
    <xf numFmtId="0" fontId="2" fillId="32" borderId="59" xfId="52" applyFont="1" applyFill="1" applyBorder="1" applyAlignment="1">
      <alignment horizontal="center" vertical="center" wrapText="1"/>
      <protection/>
    </xf>
    <xf numFmtId="0" fontId="2" fillId="32" borderId="60" xfId="52" applyFont="1" applyFill="1" applyBorder="1" applyAlignment="1">
      <alignment horizontal="center" vertical="center" wrapText="1"/>
      <protection/>
    </xf>
    <xf numFmtId="182" fontId="2" fillId="32" borderId="29" xfId="52" applyNumberFormat="1" applyFont="1" applyFill="1" applyBorder="1" applyAlignment="1">
      <alignment horizontal="center" vertical="center"/>
      <protection/>
    </xf>
    <xf numFmtId="0" fontId="2" fillId="35" borderId="29" xfId="0" applyFont="1" applyFill="1" applyBorder="1" applyAlignment="1">
      <alignment horizontal="left"/>
    </xf>
    <xf numFmtId="0" fontId="2" fillId="35" borderId="29" xfId="0" applyFont="1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35" borderId="29" xfId="0" applyFill="1" applyBorder="1" applyAlignment="1">
      <alignment horizontal="left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3" xfId="54"/>
    <cellStyle name="Normal 4" xfId="55"/>
    <cellStyle name="Normal 5" xfId="56"/>
    <cellStyle name="Nota" xfId="57"/>
    <cellStyle name="Percent" xfId="58"/>
    <cellStyle name="Porcentagem 2" xfId="59"/>
    <cellStyle name="Saída" xfId="60"/>
    <cellStyle name="Comma [0]" xfId="61"/>
    <cellStyle name="Separador de milhares 2" xfId="62"/>
    <cellStyle name="Separador de milhares 3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90625" y="66675"/>
          <a:ext cx="3714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58</xdr:row>
      <xdr:rowOff>47625</xdr:rowOff>
    </xdr:from>
    <xdr:to>
      <xdr:col>8</xdr:col>
      <xdr:colOff>0</xdr:colOff>
      <xdr:row>61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3411200"/>
          <a:ext cx="81153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85725</xdr:rowOff>
    </xdr:from>
    <xdr:to>
      <xdr:col>2</xdr:col>
      <xdr:colOff>133350</xdr:colOff>
      <xdr:row>0</xdr:row>
      <xdr:rowOff>704850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1"/>
        <a:srcRect b="14472"/>
        <a:stretch>
          <a:fillRect/>
        </a:stretch>
      </xdr:blipFill>
      <xdr:spPr>
        <a:xfrm>
          <a:off x="361950" y="85725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28575</xdr:rowOff>
    </xdr:from>
    <xdr:to>
      <xdr:col>9</xdr:col>
      <xdr:colOff>447675</xdr:colOff>
      <xdr:row>0</xdr:row>
      <xdr:rowOff>809625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657350" y="28575"/>
          <a:ext cx="87344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MUNICIPAL DE CORAÇÃO DE JESUS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ESTADO DE MINAS GERAIS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266700</xdr:colOff>
      <xdr:row>0</xdr:row>
      <xdr:rowOff>76200</xdr:rowOff>
    </xdr:from>
    <xdr:to>
      <xdr:col>1</xdr:col>
      <xdr:colOff>342900</xdr:colOff>
      <xdr:row>0</xdr:row>
      <xdr:rowOff>828675</xdr:rowOff>
    </xdr:to>
    <xdr:pic>
      <xdr:nvPicPr>
        <xdr:cNvPr id="2" name="Object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showZeros="0" view="pageBreakPreview" zoomScaleSheetLayoutView="100" zoomScalePageLayoutView="0" workbookViewId="0" topLeftCell="A7">
      <selection activeCell="A4" sqref="A4:L4"/>
    </sheetView>
  </sheetViews>
  <sheetFormatPr defaultColWidth="9.140625" defaultRowHeight="12.75"/>
  <cols>
    <col min="1" max="1" width="5.421875" style="0" bestFit="1" customWidth="1"/>
    <col min="2" max="2" width="10.7109375" style="0" bestFit="1" customWidth="1"/>
    <col min="3" max="3" width="48.00390625" style="0" customWidth="1"/>
    <col min="5" max="8" width="12.28125" style="0" customWidth="1"/>
    <col min="10" max="10" width="13.140625" style="0" bestFit="1" customWidth="1"/>
  </cols>
  <sheetData>
    <row r="1" spans="1:8" ht="60.75" customHeight="1" thickBot="1">
      <c r="A1" s="153"/>
      <c r="B1" s="153"/>
      <c r="C1" s="152"/>
      <c r="D1" s="152"/>
      <c r="E1" s="152"/>
      <c r="F1" s="152"/>
      <c r="G1" s="152"/>
      <c r="H1" s="152"/>
    </row>
    <row r="2" spans="1:8" ht="15.75" thickBot="1">
      <c r="A2" s="167" t="s">
        <v>52</v>
      </c>
      <c r="B2" s="168"/>
      <c r="C2" s="168"/>
      <c r="D2" s="168"/>
      <c r="E2" s="168"/>
      <c r="F2" s="168"/>
      <c r="G2" s="168"/>
      <c r="H2" s="169"/>
    </row>
    <row r="3" spans="1:8" ht="3.75" customHeight="1" thickBot="1">
      <c r="A3" s="151"/>
      <c r="B3" s="151"/>
      <c r="C3" s="151"/>
      <c r="D3" s="151"/>
      <c r="E3" s="151"/>
      <c r="F3" s="151"/>
      <c r="G3" s="151"/>
      <c r="H3" s="151"/>
    </row>
    <row r="4" spans="1:8" ht="19.5" customHeight="1" thickBot="1">
      <c r="A4" s="186" t="s">
        <v>4</v>
      </c>
      <c r="B4" s="187"/>
      <c r="C4" s="187"/>
      <c r="D4" s="187"/>
      <c r="E4" s="187"/>
      <c r="F4" s="187"/>
      <c r="G4" s="187"/>
      <c r="H4" s="188"/>
    </row>
    <row r="5" spans="1:8" ht="3.75" customHeight="1" thickBot="1">
      <c r="A5" s="11"/>
      <c r="B5" s="11"/>
      <c r="C5" s="11"/>
      <c r="D5" s="11"/>
      <c r="E5" s="11"/>
      <c r="F5" s="11"/>
      <c r="G5" s="11"/>
      <c r="H5" s="11"/>
    </row>
    <row r="6" spans="1:8" ht="19.5" customHeight="1">
      <c r="A6" s="177" t="s">
        <v>39</v>
      </c>
      <c r="B6" s="178"/>
      <c r="C6" s="178"/>
      <c r="D6" s="178"/>
      <c r="E6" s="179"/>
      <c r="F6" s="189" t="s">
        <v>25</v>
      </c>
      <c r="G6" s="190"/>
      <c r="H6" s="191"/>
    </row>
    <row r="7" spans="1:8" ht="19.5" customHeight="1">
      <c r="A7" s="180" t="s">
        <v>53</v>
      </c>
      <c r="B7" s="181"/>
      <c r="C7" s="181"/>
      <c r="D7" s="181"/>
      <c r="E7" s="182"/>
      <c r="F7" s="174" t="s">
        <v>54</v>
      </c>
      <c r="G7" s="175"/>
      <c r="H7" s="176"/>
    </row>
    <row r="8" spans="1:8" ht="12.75">
      <c r="A8" s="157" t="s">
        <v>108</v>
      </c>
      <c r="B8" s="158"/>
      <c r="C8" s="158"/>
      <c r="D8" s="159"/>
      <c r="E8" s="183" t="s">
        <v>12</v>
      </c>
      <c r="F8" s="184"/>
      <c r="G8" s="184"/>
      <c r="H8" s="185"/>
    </row>
    <row r="9" spans="1:8" ht="19.5" customHeight="1">
      <c r="A9" s="157" t="s">
        <v>55</v>
      </c>
      <c r="B9" s="158"/>
      <c r="C9" s="158"/>
      <c r="D9" s="159"/>
      <c r="E9" s="172" t="s">
        <v>8</v>
      </c>
      <c r="F9" s="170" t="s">
        <v>6</v>
      </c>
      <c r="G9" s="10" t="s">
        <v>26</v>
      </c>
      <c r="H9" s="7" t="s">
        <v>7</v>
      </c>
    </row>
    <row r="10" spans="1:8" ht="19.5" customHeight="1" thickBot="1">
      <c r="A10" s="160" t="s">
        <v>56</v>
      </c>
      <c r="B10" s="161"/>
      <c r="C10" s="161"/>
      <c r="D10" s="162"/>
      <c r="E10" s="173"/>
      <c r="F10" s="171"/>
      <c r="G10" s="12" t="s">
        <v>9</v>
      </c>
      <c r="H10" s="43" t="e">
        <f>#REF!</f>
        <v>#REF!</v>
      </c>
    </row>
    <row r="11" spans="1:8" ht="3.75" customHeight="1" thickBot="1">
      <c r="A11" s="165"/>
      <c r="B11" s="165"/>
      <c r="C11" s="165"/>
      <c r="D11" s="165"/>
      <c r="E11" s="165"/>
      <c r="F11" s="165"/>
      <c r="G11" s="165"/>
      <c r="H11" s="165"/>
    </row>
    <row r="12" spans="1:8" ht="39.75" thickBot="1">
      <c r="A12" s="2" t="s">
        <v>0</v>
      </c>
      <c r="B12" s="3" t="s">
        <v>5</v>
      </c>
      <c r="C12" s="3" t="s">
        <v>1</v>
      </c>
      <c r="D12" s="3" t="s">
        <v>3</v>
      </c>
      <c r="E12" s="3" t="s">
        <v>2</v>
      </c>
      <c r="F12" s="4" t="s">
        <v>13</v>
      </c>
      <c r="G12" s="4" t="s">
        <v>14</v>
      </c>
      <c r="H12" s="5" t="s">
        <v>10</v>
      </c>
    </row>
    <row r="13" spans="1:8" s="25" customFormat="1" ht="18" customHeight="1">
      <c r="A13" s="26">
        <v>1</v>
      </c>
      <c r="B13" s="27"/>
      <c r="C13" s="28" t="s">
        <v>57</v>
      </c>
      <c r="D13" s="29"/>
      <c r="E13" s="30"/>
      <c r="F13" s="30"/>
      <c r="G13" s="30"/>
      <c r="H13" s="31"/>
    </row>
    <row r="14" spans="1:9" ht="30">
      <c r="A14" s="13" t="s">
        <v>16</v>
      </c>
      <c r="B14" s="32" t="s">
        <v>58</v>
      </c>
      <c r="C14" s="33" t="s">
        <v>59</v>
      </c>
      <c r="D14" s="14" t="s">
        <v>60</v>
      </c>
      <c r="E14" s="15">
        <f>713.51</f>
        <v>713.51</v>
      </c>
      <c r="F14" s="15">
        <v>50.34</v>
      </c>
      <c r="G14" s="15" t="e">
        <f>F14+(F14*$H$10)</f>
        <v>#REF!</v>
      </c>
      <c r="H14" s="16" t="e">
        <f>E14*G14</f>
        <v>#REF!</v>
      </c>
      <c r="I14" s="24"/>
    </row>
    <row r="15" spans="1:8" ht="18" customHeight="1">
      <c r="A15" s="13" t="s">
        <v>18</v>
      </c>
      <c r="B15" s="32" t="s">
        <v>61</v>
      </c>
      <c r="C15" s="33" t="s">
        <v>62</v>
      </c>
      <c r="D15" s="14" t="s">
        <v>60</v>
      </c>
      <c r="E15" s="15">
        <v>999.18</v>
      </c>
      <c r="F15" s="15">
        <v>10.13</v>
      </c>
      <c r="G15" s="15" t="e">
        <f aca="true" t="shared" si="0" ref="G15:G48">F15+(F15*$H$10)</f>
        <v>#REF!</v>
      </c>
      <c r="H15" s="16" t="e">
        <f aca="true" t="shared" si="1" ref="H15:H49">E15*G15</f>
        <v>#REF!</v>
      </c>
    </row>
    <row r="16" spans="1:8" ht="18" customHeight="1">
      <c r="A16" s="34"/>
      <c r="B16" s="35"/>
      <c r="C16" s="36"/>
      <c r="D16" s="14"/>
      <c r="E16" s="15"/>
      <c r="F16" s="15"/>
      <c r="G16" s="15" t="e">
        <f t="shared" si="0"/>
        <v>#REF!</v>
      </c>
      <c r="H16" s="16" t="e">
        <f t="shared" si="1"/>
        <v>#REF!</v>
      </c>
    </row>
    <row r="17" spans="1:8" s="49" customFormat="1" ht="12.75">
      <c r="A17" s="34">
        <v>2</v>
      </c>
      <c r="B17" s="35"/>
      <c r="C17" s="36" t="s">
        <v>63</v>
      </c>
      <c r="D17" s="46"/>
      <c r="E17" s="47"/>
      <c r="F17" s="47"/>
      <c r="G17" s="47" t="e">
        <f t="shared" si="0"/>
        <v>#REF!</v>
      </c>
      <c r="H17" s="48" t="e">
        <f t="shared" si="1"/>
        <v>#REF!</v>
      </c>
    </row>
    <row r="18" spans="1:8" s="25" customFormat="1" ht="20.25">
      <c r="A18" s="13" t="s">
        <v>19</v>
      </c>
      <c r="B18" s="37" t="s">
        <v>64</v>
      </c>
      <c r="C18" s="33" t="s">
        <v>65</v>
      </c>
      <c r="D18" s="14" t="s">
        <v>60</v>
      </c>
      <c r="E18" s="15">
        <v>232.74</v>
      </c>
      <c r="F18" s="15">
        <v>3.51</v>
      </c>
      <c r="G18" s="15" t="e">
        <f t="shared" si="0"/>
        <v>#REF!</v>
      </c>
      <c r="H18" s="16" t="e">
        <f t="shared" si="1"/>
        <v>#REF!</v>
      </c>
    </row>
    <row r="19" spans="1:8" ht="20.25">
      <c r="A19" s="13" t="s">
        <v>20</v>
      </c>
      <c r="B19" s="37" t="s">
        <v>66</v>
      </c>
      <c r="C19" s="33" t="s">
        <v>67</v>
      </c>
      <c r="D19" s="14" t="s">
        <v>60</v>
      </c>
      <c r="E19" s="15">
        <f>E18</f>
        <v>232.74</v>
      </c>
      <c r="F19" s="15">
        <v>9.85</v>
      </c>
      <c r="G19" s="15" t="e">
        <f t="shared" si="0"/>
        <v>#REF!</v>
      </c>
      <c r="H19" s="16" t="e">
        <f t="shared" si="1"/>
        <v>#REF!</v>
      </c>
    </row>
    <row r="20" spans="1:8" ht="12.75">
      <c r="A20" s="51" t="s">
        <v>21</v>
      </c>
      <c r="B20" s="52"/>
      <c r="C20" s="53" t="s">
        <v>68</v>
      </c>
      <c r="D20" s="37"/>
      <c r="E20" s="15"/>
      <c r="F20" s="15"/>
      <c r="G20" s="15" t="e">
        <f t="shared" si="0"/>
        <v>#REF!</v>
      </c>
      <c r="H20" s="16" t="e">
        <f t="shared" si="1"/>
        <v>#REF!</v>
      </c>
    </row>
    <row r="21" spans="1:8" ht="20.25">
      <c r="A21" s="13" t="s">
        <v>44</v>
      </c>
      <c r="B21" s="37" t="s">
        <v>69</v>
      </c>
      <c r="C21" s="33" t="s">
        <v>70</v>
      </c>
      <c r="D21" s="37" t="s">
        <v>60</v>
      </c>
      <c r="E21" s="15">
        <f>(65*0.2*1.25*4)</f>
        <v>65</v>
      </c>
      <c r="F21" s="15">
        <v>52.26</v>
      </c>
      <c r="G21" s="15" t="e">
        <f t="shared" si="0"/>
        <v>#REF!</v>
      </c>
      <c r="H21" s="16" t="e">
        <f t="shared" si="1"/>
        <v>#REF!</v>
      </c>
    </row>
    <row r="22" spans="1:8" ht="30">
      <c r="A22" s="13" t="s">
        <v>72</v>
      </c>
      <c r="B22" s="37" t="s">
        <v>71</v>
      </c>
      <c r="C22" s="33" t="s">
        <v>73</v>
      </c>
      <c r="D22" s="14" t="s">
        <v>42</v>
      </c>
      <c r="E22" s="15">
        <f>65*0.2*0.2*1.25</f>
        <v>3.25</v>
      </c>
      <c r="F22" s="15">
        <v>292.74</v>
      </c>
      <c r="G22" s="15" t="e">
        <f t="shared" si="0"/>
        <v>#REF!</v>
      </c>
      <c r="H22" s="16" t="e">
        <f t="shared" si="1"/>
        <v>#REF!</v>
      </c>
    </row>
    <row r="23" spans="1:8" ht="20.25">
      <c r="A23" s="13" t="s">
        <v>74</v>
      </c>
      <c r="B23" s="37" t="s">
        <v>100</v>
      </c>
      <c r="C23" s="33" t="s">
        <v>99</v>
      </c>
      <c r="D23" s="37" t="s">
        <v>15</v>
      </c>
      <c r="E23" s="15">
        <f>((139.44-(65*0.2))*0.4)</f>
        <v>50.576</v>
      </c>
      <c r="F23" s="15">
        <v>47.94</v>
      </c>
      <c r="G23" s="15" t="e">
        <f t="shared" si="0"/>
        <v>#REF!</v>
      </c>
      <c r="H23" s="16" t="e">
        <f t="shared" si="1"/>
        <v>#REF!</v>
      </c>
    </row>
    <row r="24" spans="1:8" ht="20.25">
      <c r="A24" s="13" t="s">
        <v>80</v>
      </c>
      <c r="B24" s="37" t="s">
        <v>75</v>
      </c>
      <c r="C24" s="33" t="s">
        <v>76</v>
      </c>
      <c r="D24" s="37" t="s">
        <v>15</v>
      </c>
      <c r="E24" s="15">
        <f>E23*2</f>
        <v>101.152</v>
      </c>
      <c r="F24" s="15">
        <v>7.38</v>
      </c>
      <c r="G24" s="15" t="e">
        <f t="shared" si="0"/>
        <v>#REF!</v>
      </c>
      <c r="H24" s="16" t="e">
        <f t="shared" si="1"/>
        <v>#REF!</v>
      </c>
    </row>
    <row r="25" spans="1:8" ht="20.25">
      <c r="A25" s="13" t="s">
        <v>81</v>
      </c>
      <c r="B25" s="37" t="s">
        <v>101</v>
      </c>
      <c r="C25" s="33" t="s">
        <v>77</v>
      </c>
      <c r="D25" s="37" t="s">
        <v>23</v>
      </c>
      <c r="E25" s="15">
        <f>139.44</f>
        <v>139.44</v>
      </c>
      <c r="F25" s="15">
        <v>105.98</v>
      </c>
      <c r="G25" s="15" t="e">
        <f t="shared" si="0"/>
        <v>#REF!</v>
      </c>
      <c r="H25" s="16" t="e">
        <f t="shared" si="1"/>
        <v>#REF!</v>
      </c>
    </row>
    <row r="26" spans="1:8" ht="20.25">
      <c r="A26" s="13" t="s">
        <v>82</v>
      </c>
      <c r="B26" s="37" t="s">
        <v>103</v>
      </c>
      <c r="C26" s="33" t="s">
        <v>102</v>
      </c>
      <c r="D26" s="37" t="s">
        <v>23</v>
      </c>
      <c r="E26" s="15">
        <f>(E25/0.8)*0.75</f>
        <v>130.725</v>
      </c>
      <c r="F26" s="15">
        <v>42.6</v>
      </c>
      <c r="G26" s="15" t="e">
        <f>F26+(F26*$H$10)</f>
        <v>#REF!</v>
      </c>
      <c r="H26" s="16" t="e">
        <f>E26*G26</f>
        <v>#REF!</v>
      </c>
    </row>
    <row r="27" spans="1:9" ht="20.25">
      <c r="A27" s="13" t="s">
        <v>104</v>
      </c>
      <c r="B27" s="37" t="s">
        <v>78</v>
      </c>
      <c r="C27" s="33" t="s">
        <v>83</v>
      </c>
      <c r="D27" s="37" t="s">
        <v>79</v>
      </c>
      <c r="E27" s="15">
        <f>E25+E26</f>
        <v>270.16499999999996</v>
      </c>
      <c r="F27" s="15">
        <v>9.41</v>
      </c>
      <c r="G27" s="15" t="e">
        <f t="shared" si="0"/>
        <v>#REF!</v>
      </c>
      <c r="H27" s="16" t="e">
        <f t="shared" si="1"/>
        <v>#REF!</v>
      </c>
      <c r="I27" s="24"/>
    </row>
    <row r="28" spans="1:9" ht="12.75">
      <c r="A28" s="13"/>
      <c r="B28" s="37"/>
      <c r="C28" s="33"/>
      <c r="D28" s="37"/>
      <c r="E28" s="15"/>
      <c r="F28" s="15"/>
      <c r="G28" s="15" t="e">
        <f t="shared" si="0"/>
        <v>#REF!</v>
      </c>
      <c r="H28" s="16" t="e">
        <f t="shared" si="1"/>
        <v>#REF!</v>
      </c>
      <c r="I28" s="24"/>
    </row>
    <row r="29" spans="1:9" s="61" customFormat="1" ht="12.75">
      <c r="A29" s="55">
        <v>3</v>
      </c>
      <c r="B29" s="56"/>
      <c r="C29" s="57" t="s">
        <v>84</v>
      </c>
      <c r="D29" s="56"/>
      <c r="E29" s="58"/>
      <c r="F29" s="58"/>
      <c r="G29" s="58" t="e">
        <f>F29+(F29*$H$10)</f>
        <v>#REF!</v>
      </c>
      <c r="H29" s="59" t="e">
        <f>E29*G29</f>
        <v>#REF!</v>
      </c>
      <c r="I29" s="60"/>
    </row>
    <row r="30" spans="1:9" s="61" customFormat="1" ht="30">
      <c r="A30" s="62" t="s">
        <v>22</v>
      </c>
      <c r="B30" s="63" t="s">
        <v>86</v>
      </c>
      <c r="C30" s="64" t="s">
        <v>87</v>
      </c>
      <c r="D30" s="65" t="s">
        <v>85</v>
      </c>
      <c r="E30" s="66">
        <v>4</v>
      </c>
      <c r="F30" s="66">
        <v>1384.57</v>
      </c>
      <c r="G30" s="66" t="e">
        <f>F30+(F30*$H$10)</f>
        <v>#REF!</v>
      </c>
      <c r="H30" s="67" t="e">
        <f>E30*G30</f>
        <v>#REF!</v>
      </c>
      <c r="I30" s="60"/>
    </row>
    <row r="31" spans="1:9" s="61" customFormat="1" ht="12.75">
      <c r="A31" s="62" t="s">
        <v>105</v>
      </c>
      <c r="B31" s="63" t="s">
        <v>111</v>
      </c>
      <c r="C31" s="64" t="s">
        <v>112</v>
      </c>
      <c r="D31" s="65" t="s">
        <v>85</v>
      </c>
      <c r="E31" s="66">
        <v>4</v>
      </c>
      <c r="F31" s="66">
        <v>44.3</v>
      </c>
      <c r="G31" s="66" t="e">
        <f>F31+(F31*$H$10)</f>
        <v>#REF!</v>
      </c>
      <c r="H31" s="67" t="e">
        <f>E31*G31</f>
        <v>#REF!</v>
      </c>
      <c r="I31" s="60"/>
    </row>
    <row r="32" spans="1:8" s="61" customFormat="1" ht="20.25">
      <c r="A32" s="62" t="s">
        <v>105</v>
      </c>
      <c r="B32" s="68" t="s">
        <v>93</v>
      </c>
      <c r="C32" s="64" t="s">
        <v>94</v>
      </c>
      <c r="D32" s="65" t="s">
        <v>85</v>
      </c>
      <c r="E32" s="66">
        <v>4</v>
      </c>
      <c r="F32" s="66">
        <v>274.83</v>
      </c>
      <c r="G32" s="66" t="e">
        <f t="shared" si="0"/>
        <v>#REF!</v>
      </c>
      <c r="H32" s="67" t="e">
        <f t="shared" si="1"/>
        <v>#REF!</v>
      </c>
    </row>
    <row r="33" spans="1:8" s="61" customFormat="1" ht="20.25">
      <c r="A33" s="62" t="s">
        <v>106</v>
      </c>
      <c r="B33" s="68" t="s">
        <v>95</v>
      </c>
      <c r="C33" s="64" t="s">
        <v>96</v>
      </c>
      <c r="D33" s="65" t="s">
        <v>79</v>
      </c>
      <c r="E33" s="66">
        <v>67.6095</v>
      </c>
      <c r="F33" s="66">
        <v>11.2</v>
      </c>
      <c r="G33" s="66" t="e">
        <f>F33+(F33*$H$10)</f>
        <v>#REF!</v>
      </c>
      <c r="H33" s="67" t="e">
        <f>E33*G33</f>
        <v>#REF!</v>
      </c>
    </row>
    <row r="34" spans="1:8" s="61" customFormat="1" ht="20.25">
      <c r="A34" s="62" t="s">
        <v>107</v>
      </c>
      <c r="B34" s="68" t="s">
        <v>97</v>
      </c>
      <c r="C34" s="64" t="s">
        <v>98</v>
      </c>
      <c r="D34" s="65" t="s">
        <v>79</v>
      </c>
      <c r="E34" s="66">
        <f>E33*3</f>
        <v>202.8285</v>
      </c>
      <c r="F34" s="66">
        <v>5.33</v>
      </c>
      <c r="G34" s="66" t="e">
        <f>F34+(F34*$H$10)</f>
        <v>#REF!</v>
      </c>
      <c r="H34" s="67" t="e">
        <f>E34*G34</f>
        <v>#REF!</v>
      </c>
    </row>
    <row r="35" spans="1:8" s="61" customFormat="1" ht="20.25">
      <c r="A35" s="62"/>
      <c r="B35" s="68" t="s">
        <v>109</v>
      </c>
      <c r="C35" s="64" t="s">
        <v>110</v>
      </c>
      <c r="D35" s="65" t="s">
        <v>85</v>
      </c>
      <c r="E35" s="66">
        <v>1</v>
      </c>
      <c r="F35" s="66">
        <v>1707.84</v>
      </c>
      <c r="G35" s="66" t="e">
        <f>F35+(F35*$H$10)</f>
        <v>#REF!</v>
      </c>
      <c r="H35" s="67" t="e">
        <f>E35*G35</f>
        <v>#REF!</v>
      </c>
    </row>
    <row r="36" spans="1:8" ht="18" customHeight="1">
      <c r="A36" s="34"/>
      <c r="B36" s="35"/>
      <c r="C36" s="36"/>
      <c r="D36" s="14"/>
      <c r="E36" s="15"/>
      <c r="F36" s="15"/>
      <c r="G36" s="15" t="e">
        <f t="shared" si="0"/>
        <v>#REF!</v>
      </c>
      <c r="H36" s="16" t="e">
        <f t="shared" si="1"/>
        <v>#REF!</v>
      </c>
    </row>
    <row r="37" spans="1:8" ht="18" customHeight="1">
      <c r="A37" s="34">
        <v>4</v>
      </c>
      <c r="B37" s="50"/>
      <c r="C37" s="36" t="s">
        <v>89</v>
      </c>
      <c r="D37" s="46"/>
      <c r="E37" s="47"/>
      <c r="F37" s="47"/>
      <c r="G37" s="47" t="e">
        <f t="shared" si="0"/>
        <v>#REF!</v>
      </c>
      <c r="H37" s="48" t="e">
        <f t="shared" si="1"/>
        <v>#REF!</v>
      </c>
    </row>
    <row r="38" spans="1:8" ht="18" customHeight="1">
      <c r="A38" s="13" t="s">
        <v>92</v>
      </c>
      <c r="B38" s="32" t="s">
        <v>91</v>
      </c>
      <c r="C38" s="33" t="s">
        <v>90</v>
      </c>
      <c r="D38" s="14" t="s">
        <v>88</v>
      </c>
      <c r="E38" s="15"/>
      <c r="F38" s="15">
        <v>292.72</v>
      </c>
      <c r="G38" s="15" t="e">
        <f t="shared" si="0"/>
        <v>#REF!</v>
      </c>
      <c r="H38" s="16" t="e">
        <f t="shared" si="1"/>
        <v>#REF!</v>
      </c>
    </row>
    <row r="39" spans="1:8" ht="18" customHeight="1">
      <c r="A39" s="34"/>
      <c r="B39" s="35"/>
      <c r="C39" s="36"/>
      <c r="D39" s="14"/>
      <c r="E39" s="15"/>
      <c r="F39" s="15"/>
      <c r="G39" s="15" t="e">
        <f t="shared" si="0"/>
        <v>#REF!</v>
      </c>
      <c r="H39" s="16" t="e">
        <f t="shared" si="1"/>
        <v>#REF!</v>
      </c>
    </row>
    <row r="40" spans="1:8" ht="12.75">
      <c r="A40" s="13"/>
      <c r="B40" s="37"/>
      <c r="C40" s="33"/>
      <c r="D40" s="14"/>
      <c r="E40" s="15"/>
      <c r="F40" s="15"/>
      <c r="G40" s="15" t="e">
        <f t="shared" si="0"/>
        <v>#REF!</v>
      </c>
      <c r="H40" s="16" t="e">
        <f t="shared" si="1"/>
        <v>#REF!</v>
      </c>
    </row>
    <row r="41" spans="1:8" ht="18" customHeight="1">
      <c r="A41" s="13"/>
      <c r="B41" s="32"/>
      <c r="C41" s="33"/>
      <c r="D41" s="14"/>
      <c r="E41" s="15"/>
      <c r="F41" s="15"/>
      <c r="G41" s="15" t="e">
        <f t="shared" si="0"/>
        <v>#REF!</v>
      </c>
      <c r="H41" s="16" t="e">
        <f t="shared" si="1"/>
        <v>#REF!</v>
      </c>
    </row>
    <row r="42" spans="1:8" ht="18" customHeight="1">
      <c r="A42" s="13"/>
      <c r="B42" s="32"/>
      <c r="C42" s="33"/>
      <c r="D42" s="14"/>
      <c r="E42" s="15"/>
      <c r="F42" s="15"/>
      <c r="G42" s="15" t="e">
        <f t="shared" si="0"/>
        <v>#REF!</v>
      </c>
      <c r="H42" s="16" t="e">
        <f t="shared" si="1"/>
        <v>#REF!</v>
      </c>
    </row>
    <row r="43" spans="1:8" ht="18" customHeight="1">
      <c r="A43" s="13"/>
      <c r="B43" s="32"/>
      <c r="C43" s="33"/>
      <c r="D43" s="14"/>
      <c r="E43" s="15"/>
      <c r="F43" s="15"/>
      <c r="G43" s="15" t="e">
        <f t="shared" si="0"/>
        <v>#REF!</v>
      </c>
      <c r="H43" s="16" t="e">
        <f t="shared" si="1"/>
        <v>#REF!</v>
      </c>
    </row>
    <row r="44" spans="1:8" ht="18" customHeight="1">
      <c r="A44" s="13"/>
      <c r="B44" s="32"/>
      <c r="C44" s="38"/>
      <c r="D44" s="14"/>
      <c r="E44" s="15"/>
      <c r="F44" s="15"/>
      <c r="G44" s="15" t="e">
        <f t="shared" si="0"/>
        <v>#REF!</v>
      </c>
      <c r="H44" s="16" t="e">
        <f t="shared" si="1"/>
        <v>#REF!</v>
      </c>
    </row>
    <row r="45" spans="1:8" ht="18" customHeight="1">
      <c r="A45" s="13"/>
      <c r="B45" s="32"/>
      <c r="C45" s="33"/>
      <c r="D45" s="14"/>
      <c r="E45" s="15"/>
      <c r="F45" s="15"/>
      <c r="G45" s="15" t="e">
        <f t="shared" si="0"/>
        <v>#REF!</v>
      </c>
      <c r="H45" s="16" t="e">
        <f t="shared" si="1"/>
        <v>#REF!</v>
      </c>
    </row>
    <row r="46" spans="1:8" ht="18" customHeight="1">
      <c r="A46" s="13"/>
      <c r="B46" s="32"/>
      <c r="C46" s="33"/>
      <c r="D46" s="14"/>
      <c r="E46" s="15"/>
      <c r="F46" s="15"/>
      <c r="G46" s="15" t="e">
        <f t="shared" si="0"/>
        <v>#REF!</v>
      </c>
      <c r="H46" s="16" t="e">
        <f t="shared" si="1"/>
        <v>#REF!</v>
      </c>
    </row>
    <row r="47" spans="1:8" ht="18" customHeight="1">
      <c r="A47" s="13"/>
      <c r="B47" s="32"/>
      <c r="C47" s="33"/>
      <c r="D47" s="14"/>
      <c r="E47" s="15"/>
      <c r="F47" s="15"/>
      <c r="G47" s="15" t="e">
        <f t="shared" si="0"/>
        <v>#REF!</v>
      </c>
      <c r="H47" s="16" t="e">
        <f t="shared" si="1"/>
        <v>#REF!</v>
      </c>
    </row>
    <row r="48" spans="1:8" ht="18" customHeight="1">
      <c r="A48" s="13"/>
      <c r="B48" s="32"/>
      <c r="C48" s="33"/>
      <c r="D48" s="17"/>
      <c r="E48" s="15"/>
      <c r="F48" s="15"/>
      <c r="G48" s="15" t="e">
        <f t="shared" si="0"/>
        <v>#REF!</v>
      </c>
      <c r="H48" s="16" t="e">
        <f t="shared" si="1"/>
        <v>#REF!</v>
      </c>
    </row>
    <row r="49" spans="1:8" ht="18" customHeight="1" thickBot="1">
      <c r="A49" s="39"/>
      <c r="B49" s="40"/>
      <c r="C49" s="41"/>
      <c r="D49" s="20"/>
      <c r="E49" s="21"/>
      <c r="F49" s="18"/>
      <c r="G49" s="18" t="e">
        <f>F49*$H$10</f>
        <v>#REF!</v>
      </c>
      <c r="H49" s="19" t="e">
        <f t="shared" si="1"/>
        <v>#REF!</v>
      </c>
    </row>
    <row r="50" spans="1:10" ht="18" customHeight="1" thickBot="1">
      <c r="A50" s="163" t="s">
        <v>24</v>
      </c>
      <c r="B50" s="164"/>
      <c r="C50" s="164"/>
      <c r="D50" s="164"/>
      <c r="E50" s="164"/>
      <c r="F50" s="164"/>
      <c r="G50" s="164"/>
      <c r="H50" s="42" t="e">
        <f>SUM(H13:H49)</f>
        <v>#REF!</v>
      </c>
      <c r="J50" s="54">
        <v>114842.08</v>
      </c>
    </row>
    <row r="51" spans="1:10" ht="14.25" customHeight="1">
      <c r="A51" s="22"/>
      <c r="B51" s="22"/>
      <c r="C51" s="22"/>
      <c r="D51" s="22"/>
      <c r="E51" s="22"/>
      <c r="F51" s="22"/>
      <c r="G51" s="22"/>
      <c r="H51" s="23"/>
      <c r="J51" s="54" t="e">
        <f>J50-H50</f>
        <v>#REF!</v>
      </c>
    </row>
    <row r="52" spans="1:8" ht="11.25" customHeight="1">
      <c r="A52" s="1"/>
      <c r="B52" s="1"/>
      <c r="C52" s="1"/>
      <c r="D52" s="1"/>
      <c r="E52" s="1"/>
      <c r="F52" s="1"/>
      <c r="G52" s="1"/>
      <c r="H52" s="1"/>
    </row>
    <row r="53" spans="1:8" ht="11.25" customHeight="1">
      <c r="A53" s="1"/>
      <c r="B53" s="156"/>
      <c r="C53" s="156"/>
      <c r="D53" s="1"/>
      <c r="E53" s="156" t="s">
        <v>41</v>
      </c>
      <c r="F53" s="156"/>
      <c r="G53" s="8"/>
      <c r="H53" s="1"/>
    </row>
    <row r="54" spans="1:8" ht="12.75">
      <c r="A54" s="6"/>
      <c r="B54" s="154" t="s">
        <v>40</v>
      </c>
      <c r="C54" s="154"/>
      <c r="D54" s="6"/>
      <c r="E54" s="155" t="s">
        <v>11</v>
      </c>
      <c r="F54" s="155"/>
      <c r="G54" s="9"/>
      <c r="H54" s="6"/>
    </row>
    <row r="57" spans="1:8" ht="11.25" customHeight="1">
      <c r="A57" s="1"/>
      <c r="B57" s="156"/>
      <c r="C57" s="156"/>
      <c r="D57" s="1"/>
      <c r="E57" s="166"/>
      <c r="F57" s="166"/>
      <c r="G57" s="8"/>
      <c r="H57" s="1"/>
    </row>
    <row r="58" spans="1:8" ht="12.75">
      <c r="A58" s="6"/>
      <c r="B58" s="154" t="s">
        <v>51</v>
      </c>
      <c r="C58" s="154"/>
      <c r="D58" s="6"/>
      <c r="E58" s="155"/>
      <c r="F58" s="155"/>
      <c r="G58" s="9"/>
      <c r="H58" s="6"/>
    </row>
    <row r="59" ht="12" customHeight="1"/>
    <row r="60" ht="11.25" customHeight="1"/>
    <row r="61" ht="12" customHeight="1"/>
    <row r="62" ht="13.5" customHeight="1"/>
    <row r="63" ht="4.5" customHeight="1"/>
  </sheetData>
  <sheetProtection/>
  <mergeCells count="25">
    <mergeCell ref="A2:H2"/>
    <mergeCell ref="F9:F10"/>
    <mergeCell ref="E9:E10"/>
    <mergeCell ref="F7:H7"/>
    <mergeCell ref="A6:E6"/>
    <mergeCell ref="A7:E7"/>
    <mergeCell ref="E8:H8"/>
    <mergeCell ref="A4:H4"/>
    <mergeCell ref="F6:H6"/>
    <mergeCell ref="A11:H11"/>
    <mergeCell ref="A3:H3"/>
    <mergeCell ref="E57:F57"/>
    <mergeCell ref="B58:C58"/>
    <mergeCell ref="E58:F58"/>
    <mergeCell ref="B57:C57"/>
    <mergeCell ref="C1:H1"/>
    <mergeCell ref="A1:B1"/>
    <mergeCell ref="B54:C54"/>
    <mergeCell ref="E54:F54"/>
    <mergeCell ref="E53:F53"/>
    <mergeCell ref="B53:C53"/>
    <mergeCell ref="A8:D8"/>
    <mergeCell ref="A10:D10"/>
    <mergeCell ref="A9:D9"/>
    <mergeCell ref="A50:G50"/>
  </mergeCells>
  <printOptions/>
  <pageMargins left="0.7874015748031497" right="0.1968503937007874" top="0.3937007874015748" bottom="0.3937007874015748" header="0" footer="0"/>
  <pageSetup horizontalDpi="600" verticalDpi="600" orientation="portrait" paperSize="9" scale="77" r:id="rId2"/>
  <headerFooter alignWithMargins="0">
    <oddHeader>&amp;R
 &amp;P de &amp;N</oddHeader>
  </headerFooter>
  <rowBreaks count="1" manualBreakCount="1">
    <brk id="3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86"/>
  <sheetViews>
    <sheetView zoomScalePageLayoutView="0" workbookViewId="0" topLeftCell="C19">
      <selection activeCell="L86" sqref="L86"/>
    </sheetView>
  </sheetViews>
  <sheetFormatPr defaultColWidth="9.140625" defaultRowHeight="12.75"/>
  <cols>
    <col min="1" max="1" width="7.8515625" style="0" customWidth="1"/>
    <col min="2" max="2" width="12.7109375" style="0" customWidth="1"/>
    <col min="3" max="3" width="72.28125" style="0" customWidth="1"/>
    <col min="4" max="4" width="7.7109375" style="0" customWidth="1"/>
    <col min="5" max="5" width="9.140625" style="0" hidden="1" customWidth="1"/>
    <col min="7" max="7" width="14.421875" style="0" customWidth="1"/>
    <col min="8" max="8" width="14.421875" style="69" customWidth="1"/>
    <col min="9" max="9" width="14.421875" style="70" customWidth="1"/>
    <col min="10" max="10" width="13.00390625" style="0" customWidth="1"/>
    <col min="11" max="11" width="12.57421875" style="0" customWidth="1"/>
    <col min="12" max="12" width="13.00390625" style="0" customWidth="1"/>
  </cols>
  <sheetData>
    <row r="1" spans="1:12" ht="12.75">
      <c r="A1" s="199" t="s">
        <v>113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2.75">
      <c r="A2" s="201" t="s">
        <v>114</v>
      </c>
      <c r="B2" s="201"/>
      <c r="C2" s="201"/>
      <c r="D2" s="201"/>
      <c r="E2" s="201"/>
      <c r="F2" s="201"/>
      <c r="G2" s="201" t="s">
        <v>115</v>
      </c>
      <c r="H2" s="201"/>
      <c r="I2" s="201"/>
      <c r="J2" s="201"/>
      <c r="K2" s="201"/>
      <c r="L2" s="201"/>
    </row>
    <row r="3" spans="1:12" ht="12.75">
      <c r="A3" s="200" t="s">
        <v>116</v>
      </c>
      <c r="B3" s="200"/>
      <c r="C3" s="200"/>
      <c r="D3" s="200"/>
      <c r="E3" s="200"/>
      <c r="F3" s="200"/>
      <c r="G3" s="192" t="s">
        <v>117</v>
      </c>
      <c r="H3" s="192"/>
      <c r="I3" s="192"/>
      <c r="J3" s="192"/>
      <c r="K3" s="192"/>
      <c r="L3" s="192"/>
    </row>
    <row r="4" spans="1:12" ht="12.75">
      <c r="A4" s="72" t="s">
        <v>118</v>
      </c>
      <c r="B4" s="72"/>
      <c r="C4" s="72"/>
      <c r="D4" s="192" t="s">
        <v>119</v>
      </c>
      <c r="E4" s="192"/>
      <c r="F4" s="192"/>
      <c r="G4" s="192"/>
      <c r="H4" s="192"/>
      <c r="I4" s="192"/>
      <c r="J4" s="192"/>
      <c r="K4" s="192"/>
      <c r="L4" s="192"/>
    </row>
    <row r="5" spans="1:12" ht="12.75">
      <c r="A5" s="72" t="s">
        <v>120</v>
      </c>
      <c r="B5" s="72"/>
      <c r="C5" s="73"/>
      <c r="D5" s="193" t="s">
        <v>121</v>
      </c>
      <c r="E5" s="193"/>
      <c r="F5" s="193"/>
      <c r="G5" s="193"/>
      <c r="H5" s="193"/>
      <c r="I5" s="193"/>
      <c r="J5" s="193"/>
      <c r="K5" s="199" t="s">
        <v>122</v>
      </c>
      <c r="L5" s="199"/>
    </row>
    <row r="6" spans="1:12" ht="12.75">
      <c r="A6" s="72" t="s">
        <v>123</v>
      </c>
      <c r="B6" s="72"/>
      <c r="C6" s="73"/>
      <c r="D6" s="193"/>
      <c r="E6" s="193"/>
      <c r="F6" s="193"/>
      <c r="G6" s="193"/>
      <c r="H6" s="193"/>
      <c r="I6" s="193"/>
      <c r="J6" s="193"/>
      <c r="K6" s="200" t="s">
        <v>124</v>
      </c>
      <c r="L6" s="200"/>
    </row>
    <row r="7" spans="1:12" ht="45" customHeight="1">
      <c r="A7" s="71" t="s">
        <v>0</v>
      </c>
      <c r="B7" s="71" t="s">
        <v>5</v>
      </c>
      <c r="C7" s="199" t="s">
        <v>125</v>
      </c>
      <c r="D7" s="199"/>
      <c r="E7" s="199"/>
      <c r="F7" s="75" t="s">
        <v>3</v>
      </c>
      <c r="G7" s="71" t="s">
        <v>2</v>
      </c>
      <c r="H7" s="76" t="s">
        <v>293</v>
      </c>
      <c r="I7" s="77" t="s">
        <v>294</v>
      </c>
      <c r="J7" s="78" t="s">
        <v>126</v>
      </c>
      <c r="K7" s="79" t="s">
        <v>127</v>
      </c>
      <c r="L7" s="71" t="s">
        <v>10</v>
      </c>
    </row>
    <row r="8" spans="1:12" s="49" customFormat="1" ht="12.75">
      <c r="A8" s="87">
        <v>1</v>
      </c>
      <c r="B8" s="88"/>
      <c r="C8" s="197" t="s">
        <v>128</v>
      </c>
      <c r="D8" s="197"/>
      <c r="E8" s="197"/>
      <c r="F8" s="88"/>
      <c r="G8" s="89"/>
      <c r="H8" s="90"/>
      <c r="I8" s="91"/>
      <c r="J8" s="89"/>
      <c r="K8" s="89"/>
      <c r="L8" s="92"/>
    </row>
    <row r="9" spans="1:12" ht="12.75">
      <c r="A9" s="71" t="s">
        <v>16</v>
      </c>
      <c r="B9" s="73"/>
      <c r="C9" s="196" t="s">
        <v>129</v>
      </c>
      <c r="D9" s="196"/>
      <c r="E9" s="196"/>
      <c r="F9" s="73"/>
      <c r="G9" s="74"/>
      <c r="H9" s="80"/>
      <c r="I9" s="81"/>
      <c r="J9" s="74"/>
      <c r="K9" s="74"/>
      <c r="L9" s="74"/>
    </row>
    <row r="10" spans="1:12" ht="12.75">
      <c r="A10" s="71" t="s">
        <v>130</v>
      </c>
      <c r="B10" s="73" t="s">
        <v>131</v>
      </c>
      <c r="C10" s="196" t="s">
        <v>132</v>
      </c>
      <c r="D10" s="196"/>
      <c r="E10" s="196"/>
      <c r="F10" s="74" t="s">
        <v>133</v>
      </c>
      <c r="G10" s="74">
        <v>15</v>
      </c>
      <c r="H10" s="80">
        <f>15</f>
        <v>15</v>
      </c>
      <c r="I10" s="81">
        <f>G10-H10</f>
        <v>0</v>
      </c>
      <c r="J10" s="74">
        <v>271.23</v>
      </c>
      <c r="K10" s="83">
        <f>(J10*0.26)+J10</f>
        <v>341.74980000000005</v>
      </c>
      <c r="L10" s="82">
        <f>G10*K10</f>
        <v>5126.247000000001</v>
      </c>
    </row>
    <row r="11" spans="1:12" ht="30.75" customHeight="1">
      <c r="A11" s="71" t="s">
        <v>134</v>
      </c>
      <c r="B11" s="73" t="s">
        <v>135</v>
      </c>
      <c r="C11" s="195" t="s">
        <v>136</v>
      </c>
      <c r="D11" s="195"/>
      <c r="E11" s="195"/>
      <c r="F11" s="74" t="s">
        <v>137</v>
      </c>
      <c r="G11" s="74">
        <v>1</v>
      </c>
      <c r="H11" s="80">
        <f>1</f>
        <v>1</v>
      </c>
      <c r="I11" s="81">
        <f aca="true" t="shared" si="0" ref="I11:I74">G11-H11</f>
        <v>0</v>
      </c>
      <c r="J11" s="74">
        <v>723.45</v>
      </c>
      <c r="K11" s="83">
        <f aca="true" t="shared" si="1" ref="K11:K74">(J11*0.26)+J11</f>
        <v>911.547</v>
      </c>
      <c r="L11" s="82">
        <f aca="true" t="shared" si="2" ref="L11:L74">G11*K11</f>
        <v>911.547</v>
      </c>
    </row>
    <row r="12" spans="1:12" ht="12.75">
      <c r="A12" s="71" t="s">
        <v>138</v>
      </c>
      <c r="B12" s="73" t="s">
        <v>139</v>
      </c>
      <c r="C12" s="196" t="s">
        <v>140</v>
      </c>
      <c r="D12" s="196"/>
      <c r="E12" s="196"/>
      <c r="F12" s="74" t="s">
        <v>137</v>
      </c>
      <c r="G12" s="74">
        <v>1</v>
      </c>
      <c r="H12" s="80">
        <f>1</f>
        <v>1</v>
      </c>
      <c r="I12" s="81">
        <f t="shared" si="0"/>
        <v>0</v>
      </c>
      <c r="J12" s="74">
        <v>867.55</v>
      </c>
      <c r="K12" s="83">
        <f t="shared" si="1"/>
        <v>1093.1129999999998</v>
      </c>
      <c r="L12" s="82">
        <f t="shared" si="2"/>
        <v>1093.1129999999998</v>
      </c>
    </row>
    <row r="13" spans="1:12" ht="12.75">
      <c r="A13" s="71" t="s">
        <v>141</v>
      </c>
      <c r="B13" s="73" t="s">
        <v>142</v>
      </c>
      <c r="C13" s="196" t="s">
        <v>143</v>
      </c>
      <c r="D13" s="196"/>
      <c r="E13" s="196"/>
      <c r="F13" s="74" t="s">
        <v>137</v>
      </c>
      <c r="G13" s="74">
        <v>1</v>
      </c>
      <c r="H13" s="80">
        <f>1</f>
        <v>1</v>
      </c>
      <c r="I13" s="81">
        <f t="shared" si="0"/>
        <v>0</v>
      </c>
      <c r="J13" s="74">
        <v>398.25</v>
      </c>
      <c r="K13" s="83">
        <f t="shared" si="1"/>
        <v>501.795</v>
      </c>
      <c r="L13" s="82">
        <f t="shared" si="2"/>
        <v>501.795</v>
      </c>
    </row>
    <row r="14" spans="1:12" ht="12.75">
      <c r="A14" s="71"/>
      <c r="B14" s="73"/>
      <c r="C14" s="196"/>
      <c r="D14" s="196"/>
      <c r="E14" s="73"/>
      <c r="F14" s="74"/>
      <c r="G14" s="74"/>
      <c r="H14" s="80"/>
      <c r="I14" s="81">
        <f t="shared" si="0"/>
        <v>0</v>
      </c>
      <c r="J14" s="74"/>
      <c r="K14" s="83"/>
      <c r="L14" s="82"/>
    </row>
    <row r="15" spans="1:12" s="49" customFormat="1" ht="12.75">
      <c r="A15" s="87">
        <v>2</v>
      </c>
      <c r="B15" s="88"/>
      <c r="C15" s="198" t="s">
        <v>144</v>
      </c>
      <c r="D15" s="198"/>
      <c r="E15" s="88"/>
      <c r="F15" s="89"/>
      <c r="G15" s="89"/>
      <c r="H15" s="90"/>
      <c r="I15" s="91">
        <f t="shared" si="0"/>
        <v>0</v>
      </c>
      <c r="J15" s="89"/>
      <c r="K15" s="93"/>
      <c r="L15" s="92"/>
    </row>
    <row r="16" spans="1:12" ht="12.75">
      <c r="A16" s="71" t="s">
        <v>19</v>
      </c>
      <c r="B16" s="73"/>
      <c r="C16" s="196" t="s">
        <v>17</v>
      </c>
      <c r="D16" s="196"/>
      <c r="E16" s="73"/>
      <c r="F16" s="74"/>
      <c r="G16" s="74"/>
      <c r="H16" s="80"/>
      <c r="I16" s="81">
        <f t="shared" si="0"/>
        <v>0</v>
      </c>
      <c r="J16" s="74"/>
      <c r="K16" s="83"/>
      <c r="L16" s="82"/>
    </row>
    <row r="17" spans="1:12" ht="30" customHeight="1">
      <c r="A17" s="71" t="s">
        <v>43</v>
      </c>
      <c r="B17" s="73" t="s">
        <v>145</v>
      </c>
      <c r="C17" s="195" t="s">
        <v>146</v>
      </c>
      <c r="D17" s="195"/>
      <c r="E17" s="73"/>
      <c r="F17" s="74" t="s">
        <v>133</v>
      </c>
      <c r="G17" s="84">
        <v>2404.42</v>
      </c>
      <c r="H17" s="85">
        <f>2404.42</f>
        <v>2404.42</v>
      </c>
      <c r="I17" s="81">
        <f t="shared" si="0"/>
        <v>0</v>
      </c>
      <c r="J17" s="74">
        <v>5.61</v>
      </c>
      <c r="K17" s="83">
        <f t="shared" si="1"/>
        <v>7.0686</v>
      </c>
      <c r="L17" s="82">
        <f t="shared" si="2"/>
        <v>16995.883212</v>
      </c>
    </row>
    <row r="18" spans="1:12" ht="12.75">
      <c r="A18" s="71"/>
      <c r="B18" s="73"/>
      <c r="C18" s="196"/>
      <c r="D18" s="196"/>
      <c r="E18" s="73"/>
      <c r="F18" s="74"/>
      <c r="G18" s="74"/>
      <c r="H18" s="80"/>
      <c r="I18" s="81">
        <f t="shared" si="0"/>
        <v>0</v>
      </c>
      <c r="J18" s="74"/>
      <c r="K18" s="83"/>
      <c r="L18" s="82"/>
    </row>
    <row r="19" spans="1:12" s="49" customFormat="1" ht="12.75">
      <c r="A19" s="94">
        <v>3</v>
      </c>
      <c r="B19" s="88"/>
      <c r="C19" s="198" t="s">
        <v>89</v>
      </c>
      <c r="D19" s="198"/>
      <c r="E19" s="88"/>
      <c r="F19" s="89"/>
      <c r="G19" s="89"/>
      <c r="H19" s="90"/>
      <c r="I19" s="91">
        <f t="shared" si="0"/>
        <v>0</v>
      </c>
      <c r="J19" s="89"/>
      <c r="K19" s="93"/>
      <c r="L19" s="92"/>
    </row>
    <row r="20" spans="1:12" ht="12.75">
      <c r="A20" s="71" t="s">
        <v>22</v>
      </c>
      <c r="B20" s="73"/>
      <c r="C20" s="196" t="s">
        <v>147</v>
      </c>
      <c r="D20" s="196"/>
      <c r="E20" s="73"/>
      <c r="F20" s="74"/>
      <c r="G20" s="74"/>
      <c r="H20" s="80"/>
      <c r="I20" s="81">
        <f t="shared" si="0"/>
        <v>0</v>
      </c>
      <c r="J20" s="74"/>
      <c r="K20" s="83"/>
      <c r="L20" s="82"/>
    </row>
    <row r="21" spans="1:12" ht="30.75" customHeight="1">
      <c r="A21" s="71" t="s">
        <v>45</v>
      </c>
      <c r="B21" s="73" t="s">
        <v>148</v>
      </c>
      <c r="C21" s="195" t="s">
        <v>149</v>
      </c>
      <c r="D21" s="195"/>
      <c r="E21" s="73"/>
      <c r="F21" s="74" t="s">
        <v>133</v>
      </c>
      <c r="G21" s="84">
        <v>1326.61</v>
      </c>
      <c r="H21" s="85"/>
      <c r="I21" s="81">
        <f t="shared" si="0"/>
        <v>1326.61</v>
      </c>
      <c r="J21" s="74">
        <v>12.79</v>
      </c>
      <c r="K21" s="83">
        <f t="shared" si="1"/>
        <v>16.115399999999998</v>
      </c>
      <c r="L21" s="82">
        <f t="shared" si="2"/>
        <v>21378.850793999994</v>
      </c>
    </row>
    <row r="22" spans="1:12" ht="30.75" customHeight="1">
      <c r="A22" s="71" t="s">
        <v>46</v>
      </c>
      <c r="B22" s="73" t="s">
        <v>150</v>
      </c>
      <c r="C22" s="195" t="s">
        <v>151</v>
      </c>
      <c r="D22" s="195"/>
      <c r="E22" s="73"/>
      <c r="F22" s="74" t="s">
        <v>137</v>
      </c>
      <c r="G22" s="74">
        <v>72</v>
      </c>
      <c r="H22" s="80"/>
      <c r="I22" s="81">
        <f t="shared" si="0"/>
        <v>72</v>
      </c>
      <c r="J22" s="74">
        <v>5.47</v>
      </c>
      <c r="K22" s="83">
        <f t="shared" si="1"/>
        <v>6.8922</v>
      </c>
      <c r="L22" s="82">
        <f t="shared" si="2"/>
        <v>496.2384</v>
      </c>
    </row>
    <row r="23" spans="1:12" ht="12.75">
      <c r="A23" s="71" t="s">
        <v>47</v>
      </c>
      <c r="B23" s="73" t="s">
        <v>152</v>
      </c>
      <c r="C23" s="196" t="s">
        <v>153</v>
      </c>
      <c r="D23" s="196"/>
      <c r="E23" s="73"/>
      <c r="F23" s="74" t="s">
        <v>137</v>
      </c>
      <c r="G23" s="74">
        <v>32</v>
      </c>
      <c r="H23" s="80"/>
      <c r="I23" s="81">
        <f t="shared" si="0"/>
        <v>32</v>
      </c>
      <c r="J23" s="74">
        <v>14.01</v>
      </c>
      <c r="K23" s="83">
        <f t="shared" si="1"/>
        <v>17.6526</v>
      </c>
      <c r="L23" s="82">
        <f t="shared" si="2"/>
        <v>564.8832</v>
      </c>
    </row>
    <row r="24" spans="1:12" ht="12.75">
      <c r="A24" s="71" t="s">
        <v>154</v>
      </c>
      <c r="B24" s="73" t="s">
        <v>152</v>
      </c>
      <c r="C24" s="196" t="s">
        <v>155</v>
      </c>
      <c r="D24" s="196"/>
      <c r="E24" s="73"/>
      <c r="F24" s="74" t="s">
        <v>137</v>
      </c>
      <c r="G24" s="74">
        <v>27</v>
      </c>
      <c r="H24" s="80"/>
      <c r="I24" s="81">
        <f t="shared" si="0"/>
        <v>27</v>
      </c>
      <c r="J24" s="74">
        <v>17.42</v>
      </c>
      <c r="K24" s="83">
        <f t="shared" si="1"/>
        <v>21.9492</v>
      </c>
      <c r="L24" s="82">
        <f t="shared" si="2"/>
        <v>592.6284</v>
      </c>
    </row>
    <row r="25" spans="1:12" ht="12.75">
      <c r="A25" s="71" t="s">
        <v>156</v>
      </c>
      <c r="B25" s="73" t="s">
        <v>157</v>
      </c>
      <c r="C25" s="196" t="s">
        <v>158</v>
      </c>
      <c r="D25" s="196"/>
      <c r="E25" s="73"/>
      <c r="F25" s="74" t="s">
        <v>137</v>
      </c>
      <c r="G25" s="74">
        <v>13</v>
      </c>
      <c r="H25" s="80"/>
      <c r="I25" s="81">
        <f t="shared" si="0"/>
        <v>13</v>
      </c>
      <c r="J25" s="74">
        <v>53.79</v>
      </c>
      <c r="K25" s="83">
        <f t="shared" si="1"/>
        <v>67.7754</v>
      </c>
      <c r="L25" s="82">
        <f t="shared" si="2"/>
        <v>881.0802000000001</v>
      </c>
    </row>
    <row r="26" spans="1:12" ht="12.75">
      <c r="A26" s="71" t="s">
        <v>159</v>
      </c>
      <c r="B26" s="73" t="s">
        <v>160</v>
      </c>
      <c r="C26" s="196" t="s">
        <v>161</v>
      </c>
      <c r="D26" s="196"/>
      <c r="E26" s="73"/>
      <c r="F26" s="74" t="s">
        <v>23</v>
      </c>
      <c r="G26" s="74">
        <v>538.56</v>
      </c>
      <c r="H26" s="80">
        <f>60+478.56</f>
        <v>538.56</v>
      </c>
      <c r="I26" s="81">
        <f t="shared" si="0"/>
        <v>0</v>
      </c>
      <c r="J26" s="74">
        <v>13.95</v>
      </c>
      <c r="K26" s="83">
        <f t="shared" si="1"/>
        <v>17.576999999999998</v>
      </c>
      <c r="L26" s="82">
        <f t="shared" si="2"/>
        <v>9466.269119999997</v>
      </c>
    </row>
    <row r="27" spans="1:12" ht="12.75">
      <c r="A27" s="71"/>
      <c r="B27" s="73"/>
      <c r="C27" s="196"/>
      <c r="D27" s="196"/>
      <c r="E27" s="73"/>
      <c r="F27" s="74"/>
      <c r="G27" s="74"/>
      <c r="H27" s="80"/>
      <c r="I27" s="81">
        <f t="shared" si="0"/>
        <v>0</v>
      </c>
      <c r="J27" s="74"/>
      <c r="K27" s="83"/>
      <c r="L27" s="82"/>
    </row>
    <row r="28" spans="1:12" s="49" customFormat="1" ht="12.75">
      <c r="A28" s="87">
        <v>4</v>
      </c>
      <c r="B28" s="88"/>
      <c r="C28" s="198" t="s">
        <v>162</v>
      </c>
      <c r="D28" s="198"/>
      <c r="E28" s="88"/>
      <c r="F28" s="89"/>
      <c r="G28" s="89"/>
      <c r="H28" s="90"/>
      <c r="I28" s="91">
        <f t="shared" si="0"/>
        <v>0</v>
      </c>
      <c r="J28" s="89"/>
      <c r="K28" s="93"/>
      <c r="L28" s="92"/>
    </row>
    <row r="29" spans="1:12" ht="12.75">
      <c r="A29" s="71" t="s">
        <v>92</v>
      </c>
      <c r="B29" s="73"/>
      <c r="C29" s="196" t="s">
        <v>163</v>
      </c>
      <c r="D29" s="196"/>
      <c r="E29" s="73"/>
      <c r="F29" s="74"/>
      <c r="G29" s="74"/>
      <c r="H29" s="80"/>
      <c r="I29" s="81">
        <f t="shared" si="0"/>
        <v>0</v>
      </c>
      <c r="J29" s="74"/>
      <c r="K29" s="83"/>
      <c r="L29" s="82"/>
    </row>
    <row r="30" spans="1:12" ht="29.25" customHeight="1">
      <c r="A30" s="71" t="s">
        <v>48</v>
      </c>
      <c r="B30" s="73" t="s">
        <v>164</v>
      </c>
      <c r="C30" s="195" t="s">
        <v>165</v>
      </c>
      <c r="D30" s="195"/>
      <c r="E30" s="73"/>
      <c r="F30" s="74" t="s">
        <v>137</v>
      </c>
      <c r="G30" s="74">
        <v>1</v>
      </c>
      <c r="H30" s="80">
        <f>1</f>
        <v>1</v>
      </c>
      <c r="I30" s="81">
        <f t="shared" si="0"/>
        <v>0</v>
      </c>
      <c r="J30" s="74">
        <v>19.32</v>
      </c>
      <c r="K30" s="83">
        <f t="shared" si="1"/>
        <v>24.3432</v>
      </c>
      <c r="L30" s="82">
        <f t="shared" si="2"/>
        <v>24.3432</v>
      </c>
    </row>
    <row r="31" spans="1:12" ht="15" customHeight="1">
      <c r="A31" s="71" t="s">
        <v>49</v>
      </c>
      <c r="B31" s="73" t="s">
        <v>166</v>
      </c>
      <c r="C31" s="195" t="s">
        <v>167</v>
      </c>
      <c r="D31" s="195"/>
      <c r="E31" s="73"/>
      <c r="F31" s="74" t="s">
        <v>137</v>
      </c>
      <c r="G31" s="74">
        <v>1</v>
      </c>
      <c r="H31" s="80">
        <f>1</f>
        <v>1</v>
      </c>
      <c r="I31" s="81">
        <f t="shared" si="0"/>
        <v>0</v>
      </c>
      <c r="J31" s="74">
        <v>8121.89</v>
      </c>
      <c r="K31" s="83">
        <f t="shared" si="1"/>
        <v>10233.581400000001</v>
      </c>
      <c r="L31" s="82">
        <f t="shared" si="2"/>
        <v>10233.581400000001</v>
      </c>
    </row>
    <row r="32" spans="1:12" ht="12.75">
      <c r="A32" s="71" t="s">
        <v>50</v>
      </c>
      <c r="B32" s="73" t="s">
        <v>168</v>
      </c>
      <c r="C32" s="192" t="s">
        <v>169</v>
      </c>
      <c r="D32" s="192"/>
      <c r="E32" s="73"/>
      <c r="F32" s="74" t="s">
        <v>137</v>
      </c>
      <c r="G32" s="74">
        <v>4</v>
      </c>
      <c r="H32" s="80">
        <f>4</f>
        <v>4</v>
      </c>
      <c r="I32" s="81">
        <f t="shared" si="0"/>
        <v>0</v>
      </c>
      <c r="J32" s="74">
        <v>17.65</v>
      </c>
      <c r="K32" s="83">
        <f t="shared" si="1"/>
        <v>22.238999999999997</v>
      </c>
      <c r="L32" s="82">
        <f t="shared" si="2"/>
        <v>88.95599999999999</v>
      </c>
    </row>
    <row r="33" spans="1:12" ht="12.75">
      <c r="A33" s="71" t="s">
        <v>170</v>
      </c>
      <c r="B33" s="73" t="s">
        <v>171</v>
      </c>
      <c r="C33" s="192" t="s">
        <v>172</v>
      </c>
      <c r="D33" s="192"/>
      <c r="E33" s="73"/>
      <c r="F33" s="74" t="s">
        <v>137</v>
      </c>
      <c r="G33" s="74">
        <v>2</v>
      </c>
      <c r="H33" s="80">
        <f>2</f>
        <v>2</v>
      </c>
      <c r="I33" s="81">
        <f t="shared" si="0"/>
        <v>0</v>
      </c>
      <c r="J33" s="74">
        <v>46.43</v>
      </c>
      <c r="K33" s="83">
        <f t="shared" si="1"/>
        <v>58.5018</v>
      </c>
      <c r="L33" s="82">
        <f t="shared" si="2"/>
        <v>117.0036</v>
      </c>
    </row>
    <row r="34" spans="1:12" ht="12.75">
      <c r="A34" s="71" t="s">
        <v>173</v>
      </c>
      <c r="B34" s="73" t="s">
        <v>174</v>
      </c>
      <c r="C34" s="192" t="s">
        <v>175</v>
      </c>
      <c r="D34" s="192"/>
      <c r="E34" s="73"/>
      <c r="F34" s="74" t="s">
        <v>176</v>
      </c>
      <c r="G34" s="74">
        <v>2</v>
      </c>
      <c r="H34" s="80">
        <f>2</f>
        <v>2</v>
      </c>
      <c r="I34" s="81">
        <f t="shared" si="0"/>
        <v>0</v>
      </c>
      <c r="J34" s="74">
        <v>50.73</v>
      </c>
      <c r="K34" s="83">
        <f t="shared" si="1"/>
        <v>63.919799999999995</v>
      </c>
      <c r="L34" s="82">
        <f t="shared" si="2"/>
        <v>127.83959999999999</v>
      </c>
    </row>
    <row r="35" spans="1:12" ht="12.75">
      <c r="A35" s="71" t="s">
        <v>177</v>
      </c>
      <c r="B35" s="73" t="s">
        <v>178</v>
      </c>
      <c r="C35" s="192" t="s">
        <v>179</v>
      </c>
      <c r="D35" s="192"/>
      <c r="E35" s="73"/>
      <c r="F35" s="74" t="s">
        <v>23</v>
      </c>
      <c r="G35" s="74">
        <v>42</v>
      </c>
      <c r="H35" s="80">
        <f>42</f>
        <v>42</v>
      </c>
      <c r="I35" s="81">
        <f t="shared" si="0"/>
        <v>0</v>
      </c>
      <c r="J35" s="74">
        <v>14.15</v>
      </c>
      <c r="K35" s="83">
        <f t="shared" si="1"/>
        <v>17.829</v>
      </c>
      <c r="L35" s="82">
        <f t="shared" si="2"/>
        <v>748.818</v>
      </c>
    </row>
    <row r="36" spans="1:12" ht="12.75">
      <c r="A36" s="71" t="s">
        <v>180</v>
      </c>
      <c r="B36" s="73" t="s">
        <v>181</v>
      </c>
      <c r="C36" s="192" t="s">
        <v>182</v>
      </c>
      <c r="D36" s="192"/>
      <c r="E36" s="73"/>
      <c r="F36" s="74" t="s">
        <v>23</v>
      </c>
      <c r="G36" s="74">
        <v>20</v>
      </c>
      <c r="H36" s="80">
        <f>20</f>
        <v>20</v>
      </c>
      <c r="I36" s="81">
        <f t="shared" si="0"/>
        <v>0</v>
      </c>
      <c r="J36" s="74">
        <v>10.22</v>
      </c>
      <c r="K36" s="83">
        <f t="shared" si="1"/>
        <v>12.877200000000002</v>
      </c>
      <c r="L36" s="82">
        <f t="shared" si="2"/>
        <v>257.54400000000004</v>
      </c>
    </row>
    <row r="37" spans="1:12" ht="12.75">
      <c r="A37" s="71" t="s">
        <v>183</v>
      </c>
      <c r="B37" s="73" t="s">
        <v>184</v>
      </c>
      <c r="C37" s="192" t="s">
        <v>185</v>
      </c>
      <c r="D37" s="192"/>
      <c r="E37" s="73"/>
      <c r="F37" s="74" t="s">
        <v>23</v>
      </c>
      <c r="G37" s="74">
        <v>24</v>
      </c>
      <c r="H37" s="80">
        <f>24</f>
        <v>24</v>
      </c>
      <c r="I37" s="81">
        <f t="shared" si="0"/>
        <v>0</v>
      </c>
      <c r="J37" s="74">
        <v>17.81</v>
      </c>
      <c r="K37" s="83">
        <f t="shared" si="1"/>
        <v>22.440599999999996</v>
      </c>
      <c r="L37" s="82">
        <f t="shared" si="2"/>
        <v>538.5744</v>
      </c>
    </row>
    <row r="38" spans="1:12" ht="12.75">
      <c r="A38" s="71" t="s">
        <v>186</v>
      </c>
      <c r="B38" s="73" t="s">
        <v>187</v>
      </c>
      <c r="C38" s="192" t="s">
        <v>188</v>
      </c>
      <c r="D38" s="192"/>
      <c r="E38" s="73"/>
      <c r="F38" s="74" t="s">
        <v>23</v>
      </c>
      <c r="G38" s="74">
        <v>178.39</v>
      </c>
      <c r="H38" s="80">
        <f>178.39</f>
        <v>178.39</v>
      </c>
      <c r="I38" s="81">
        <f t="shared" si="0"/>
        <v>0</v>
      </c>
      <c r="J38" s="74">
        <v>20.42</v>
      </c>
      <c r="K38" s="83">
        <f t="shared" si="1"/>
        <v>25.729200000000002</v>
      </c>
      <c r="L38" s="82">
        <f t="shared" si="2"/>
        <v>4589.831988</v>
      </c>
    </row>
    <row r="39" spans="1:12" ht="12.75">
      <c r="A39" s="71" t="s">
        <v>189</v>
      </c>
      <c r="B39" s="73" t="s">
        <v>190</v>
      </c>
      <c r="C39" s="192" t="s">
        <v>191</v>
      </c>
      <c r="D39" s="192"/>
      <c r="E39" s="73"/>
      <c r="F39" s="74" t="s">
        <v>137</v>
      </c>
      <c r="G39" s="74">
        <v>1</v>
      </c>
      <c r="H39" s="80"/>
      <c r="I39" s="81">
        <f t="shared" si="0"/>
        <v>1</v>
      </c>
      <c r="J39" s="74">
        <v>884.76</v>
      </c>
      <c r="K39" s="83">
        <f t="shared" si="1"/>
        <v>1114.7975999999999</v>
      </c>
      <c r="L39" s="82">
        <f t="shared" si="2"/>
        <v>1114.7975999999999</v>
      </c>
    </row>
    <row r="40" spans="1:12" ht="12.75">
      <c r="A40" s="71" t="s">
        <v>192</v>
      </c>
      <c r="B40" s="73" t="s">
        <v>193</v>
      </c>
      <c r="C40" s="192" t="s">
        <v>194</v>
      </c>
      <c r="D40" s="192"/>
      <c r="E40" s="73"/>
      <c r="F40" s="74" t="s">
        <v>137</v>
      </c>
      <c r="G40" s="74">
        <v>16</v>
      </c>
      <c r="H40" s="80">
        <f>16</f>
        <v>16</v>
      </c>
      <c r="I40" s="81">
        <f t="shared" si="0"/>
        <v>0</v>
      </c>
      <c r="J40" s="74">
        <v>30.59</v>
      </c>
      <c r="K40" s="83">
        <f t="shared" si="1"/>
        <v>38.5434</v>
      </c>
      <c r="L40" s="82">
        <f t="shared" si="2"/>
        <v>616.6944</v>
      </c>
    </row>
    <row r="41" spans="1:12" ht="12.75">
      <c r="A41" s="73"/>
      <c r="B41" s="73"/>
      <c r="C41" s="192"/>
      <c r="D41" s="192"/>
      <c r="E41" s="73"/>
      <c r="F41" s="73"/>
      <c r="G41" s="74"/>
      <c r="H41" s="80"/>
      <c r="I41" s="81">
        <f t="shared" si="0"/>
        <v>0</v>
      </c>
      <c r="J41" s="74"/>
      <c r="K41" s="83"/>
      <c r="L41" s="82"/>
    </row>
    <row r="42" spans="1:12" s="49" customFormat="1" ht="12.75">
      <c r="A42" s="89">
        <v>5</v>
      </c>
      <c r="B42" s="88"/>
      <c r="C42" s="197" t="s">
        <v>195</v>
      </c>
      <c r="D42" s="197"/>
      <c r="E42" s="88"/>
      <c r="F42" s="88"/>
      <c r="G42" s="89"/>
      <c r="H42" s="90"/>
      <c r="I42" s="91">
        <f t="shared" si="0"/>
        <v>0</v>
      </c>
      <c r="J42" s="89"/>
      <c r="K42" s="93"/>
      <c r="L42" s="92"/>
    </row>
    <row r="43" spans="1:12" ht="12.75">
      <c r="A43" s="71" t="s">
        <v>196</v>
      </c>
      <c r="B43" s="73"/>
      <c r="C43" s="192" t="s">
        <v>197</v>
      </c>
      <c r="D43" s="192"/>
      <c r="E43" s="73"/>
      <c r="F43" s="73"/>
      <c r="G43" s="74"/>
      <c r="H43" s="80"/>
      <c r="I43" s="81">
        <f t="shared" si="0"/>
        <v>0</v>
      </c>
      <c r="J43" s="74"/>
      <c r="K43" s="83"/>
      <c r="L43" s="82"/>
    </row>
    <row r="44" spans="1:12" ht="12.75">
      <c r="A44" s="71" t="s">
        <v>198</v>
      </c>
      <c r="B44" s="73" t="s">
        <v>95</v>
      </c>
      <c r="C44" s="192" t="s">
        <v>199</v>
      </c>
      <c r="D44" s="192"/>
      <c r="E44" s="73"/>
      <c r="F44" s="74" t="s">
        <v>23</v>
      </c>
      <c r="G44" s="74">
        <v>240</v>
      </c>
      <c r="H44" s="80">
        <f>240</f>
        <v>240</v>
      </c>
      <c r="I44" s="81">
        <f t="shared" si="0"/>
        <v>0</v>
      </c>
      <c r="J44" s="74">
        <v>10.58</v>
      </c>
      <c r="K44" s="83">
        <f t="shared" si="1"/>
        <v>13.3308</v>
      </c>
      <c r="L44" s="82">
        <f t="shared" si="2"/>
        <v>3199.392</v>
      </c>
    </row>
    <row r="45" spans="1:12" ht="12.75">
      <c r="A45" s="71" t="s">
        <v>200</v>
      </c>
      <c r="B45" s="73" t="s">
        <v>201</v>
      </c>
      <c r="C45" s="192" t="s">
        <v>202</v>
      </c>
      <c r="D45" s="192"/>
      <c r="E45" s="73"/>
      <c r="F45" s="74" t="s">
        <v>23</v>
      </c>
      <c r="G45" s="74">
        <v>120</v>
      </c>
      <c r="H45" s="80">
        <f>120</f>
        <v>120</v>
      </c>
      <c r="I45" s="81">
        <f t="shared" si="0"/>
        <v>0</v>
      </c>
      <c r="J45" s="74">
        <v>11.03</v>
      </c>
      <c r="K45" s="83">
        <f t="shared" si="1"/>
        <v>13.8978</v>
      </c>
      <c r="L45" s="82">
        <f t="shared" si="2"/>
        <v>1667.736</v>
      </c>
    </row>
    <row r="46" spans="1:12" ht="12.75">
      <c r="A46" s="71" t="s">
        <v>203</v>
      </c>
      <c r="B46" s="73" t="s">
        <v>109</v>
      </c>
      <c r="C46" s="192" t="s">
        <v>204</v>
      </c>
      <c r="D46" s="192"/>
      <c r="E46" s="73"/>
      <c r="F46" s="74" t="s">
        <v>137</v>
      </c>
      <c r="G46" s="74">
        <v>1</v>
      </c>
      <c r="H46" s="80">
        <f>1</f>
        <v>1</v>
      </c>
      <c r="I46" s="81">
        <f t="shared" si="0"/>
        <v>0</v>
      </c>
      <c r="J46" s="74">
        <v>1546.05</v>
      </c>
      <c r="K46" s="83">
        <f t="shared" si="1"/>
        <v>1948.023</v>
      </c>
      <c r="L46" s="82">
        <f t="shared" si="2"/>
        <v>1948.023</v>
      </c>
    </row>
    <row r="47" spans="1:12" ht="12.75">
      <c r="A47" s="71" t="s">
        <v>205</v>
      </c>
      <c r="B47" s="73" t="s">
        <v>206</v>
      </c>
      <c r="C47" s="192" t="s">
        <v>207</v>
      </c>
      <c r="D47" s="192"/>
      <c r="E47" s="73"/>
      <c r="F47" s="74" t="s">
        <v>137</v>
      </c>
      <c r="G47" s="74">
        <v>1</v>
      </c>
      <c r="H47" s="80">
        <f>1</f>
        <v>1</v>
      </c>
      <c r="I47" s="81">
        <f t="shared" si="0"/>
        <v>0</v>
      </c>
      <c r="J47" s="74">
        <v>161.35</v>
      </c>
      <c r="K47" s="83">
        <f t="shared" si="1"/>
        <v>203.301</v>
      </c>
      <c r="L47" s="82">
        <f t="shared" si="2"/>
        <v>203.301</v>
      </c>
    </row>
    <row r="48" spans="1:12" ht="29.25" customHeight="1">
      <c r="A48" s="71" t="s">
        <v>208</v>
      </c>
      <c r="B48" s="73" t="s">
        <v>209</v>
      </c>
      <c r="C48" s="195" t="s">
        <v>210</v>
      </c>
      <c r="D48" s="195"/>
      <c r="E48" s="73"/>
      <c r="F48" s="74" t="s">
        <v>23</v>
      </c>
      <c r="G48" s="74">
        <v>260</v>
      </c>
      <c r="H48" s="80">
        <f>260</f>
        <v>260</v>
      </c>
      <c r="I48" s="81">
        <f t="shared" si="0"/>
        <v>0</v>
      </c>
      <c r="J48" s="74">
        <v>8.86</v>
      </c>
      <c r="K48" s="83">
        <f t="shared" si="1"/>
        <v>11.163599999999999</v>
      </c>
      <c r="L48" s="82">
        <f t="shared" si="2"/>
        <v>2902.5359999999996</v>
      </c>
    </row>
    <row r="49" spans="1:12" ht="29.25" customHeight="1">
      <c r="A49" s="71" t="s">
        <v>211</v>
      </c>
      <c r="B49" s="73" t="s">
        <v>212</v>
      </c>
      <c r="C49" s="195" t="s">
        <v>213</v>
      </c>
      <c r="D49" s="195"/>
      <c r="E49" s="73"/>
      <c r="F49" s="74" t="s">
        <v>23</v>
      </c>
      <c r="G49" s="74">
        <v>10</v>
      </c>
      <c r="H49" s="80">
        <f>10</f>
        <v>10</v>
      </c>
      <c r="I49" s="81">
        <f t="shared" si="0"/>
        <v>0</v>
      </c>
      <c r="J49" s="74">
        <v>6.31</v>
      </c>
      <c r="K49" s="83">
        <f t="shared" si="1"/>
        <v>7.9506</v>
      </c>
      <c r="L49" s="82">
        <f t="shared" si="2"/>
        <v>79.506</v>
      </c>
    </row>
    <row r="50" spans="1:12" ht="12.75">
      <c r="A50" s="71" t="s">
        <v>214</v>
      </c>
      <c r="B50" s="73" t="s">
        <v>215</v>
      </c>
      <c r="C50" s="192" t="s">
        <v>216</v>
      </c>
      <c r="D50" s="192"/>
      <c r="E50" s="73"/>
      <c r="F50" s="74" t="s">
        <v>23</v>
      </c>
      <c r="G50" s="84">
        <v>1100</v>
      </c>
      <c r="H50" s="85">
        <f>1100</f>
        <v>1100</v>
      </c>
      <c r="I50" s="81">
        <f t="shared" si="0"/>
        <v>0</v>
      </c>
      <c r="J50" s="74">
        <v>3.5</v>
      </c>
      <c r="K50" s="83">
        <f t="shared" si="1"/>
        <v>4.41</v>
      </c>
      <c r="L50" s="82">
        <f t="shared" si="2"/>
        <v>4851</v>
      </c>
    </row>
    <row r="51" spans="1:12" ht="12.75">
      <c r="A51" s="71" t="s">
        <v>217</v>
      </c>
      <c r="B51" s="73" t="s">
        <v>218</v>
      </c>
      <c r="C51" s="192" t="s">
        <v>219</v>
      </c>
      <c r="D51" s="192"/>
      <c r="E51" s="73"/>
      <c r="F51" s="74" t="s">
        <v>23</v>
      </c>
      <c r="G51" s="74">
        <v>550</v>
      </c>
      <c r="H51" s="80">
        <f>550</f>
        <v>550</v>
      </c>
      <c r="I51" s="81">
        <f t="shared" si="0"/>
        <v>0</v>
      </c>
      <c r="J51" s="74">
        <v>3.5</v>
      </c>
      <c r="K51" s="83">
        <f t="shared" si="1"/>
        <v>4.41</v>
      </c>
      <c r="L51" s="82">
        <f t="shared" si="2"/>
        <v>2425.5</v>
      </c>
    </row>
    <row r="52" spans="1:12" ht="12.75">
      <c r="A52" s="71" t="s">
        <v>220</v>
      </c>
      <c r="B52" s="73" t="s">
        <v>221</v>
      </c>
      <c r="C52" s="192" t="s">
        <v>222</v>
      </c>
      <c r="D52" s="192"/>
      <c r="E52" s="73"/>
      <c r="F52" s="74" t="s">
        <v>23</v>
      </c>
      <c r="G52" s="74">
        <v>550</v>
      </c>
      <c r="H52" s="80">
        <f>550</f>
        <v>550</v>
      </c>
      <c r="I52" s="81">
        <f t="shared" si="0"/>
        <v>0</v>
      </c>
      <c r="J52" s="74">
        <v>3</v>
      </c>
      <c r="K52" s="83">
        <f t="shared" si="1"/>
        <v>3.7800000000000002</v>
      </c>
      <c r="L52" s="82">
        <f t="shared" si="2"/>
        <v>2079</v>
      </c>
    </row>
    <row r="53" spans="1:12" ht="12.75">
      <c r="A53" s="71" t="s">
        <v>223</v>
      </c>
      <c r="B53" s="73" t="s">
        <v>224</v>
      </c>
      <c r="C53" s="192" t="s">
        <v>225</v>
      </c>
      <c r="D53" s="192"/>
      <c r="E53" s="73"/>
      <c r="F53" s="74" t="s">
        <v>23</v>
      </c>
      <c r="G53" s="74">
        <v>300</v>
      </c>
      <c r="H53" s="80">
        <f>300</f>
        <v>300</v>
      </c>
      <c r="I53" s="81">
        <f t="shared" si="0"/>
        <v>0</v>
      </c>
      <c r="J53" s="74">
        <v>3.5</v>
      </c>
      <c r="K53" s="83">
        <f t="shared" si="1"/>
        <v>4.41</v>
      </c>
      <c r="L53" s="82">
        <f t="shared" si="2"/>
        <v>1323</v>
      </c>
    </row>
    <row r="54" spans="1:12" ht="12.75">
      <c r="A54" s="71" t="s">
        <v>226</v>
      </c>
      <c r="B54" s="73" t="s">
        <v>227</v>
      </c>
      <c r="C54" s="192" t="s">
        <v>228</v>
      </c>
      <c r="D54" s="192"/>
      <c r="E54" s="73"/>
      <c r="F54" s="74" t="s">
        <v>137</v>
      </c>
      <c r="G54" s="74">
        <v>2</v>
      </c>
      <c r="H54" s="80">
        <f>2</f>
        <v>2</v>
      </c>
      <c r="I54" s="81">
        <f t="shared" si="0"/>
        <v>0</v>
      </c>
      <c r="J54" s="74">
        <v>60</v>
      </c>
      <c r="K54" s="83">
        <f t="shared" si="1"/>
        <v>75.6</v>
      </c>
      <c r="L54" s="82">
        <f t="shared" si="2"/>
        <v>151.2</v>
      </c>
    </row>
    <row r="55" spans="1:12" ht="12.75">
      <c r="A55" s="71" t="s">
        <v>229</v>
      </c>
      <c r="B55" s="73" t="s">
        <v>230</v>
      </c>
      <c r="C55" s="192" t="s">
        <v>231</v>
      </c>
      <c r="D55" s="192"/>
      <c r="E55" s="73"/>
      <c r="F55" s="74" t="s">
        <v>137</v>
      </c>
      <c r="G55" s="74">
        <v>6</v>
      </c>
      <c r="H55" s="80">
        <f>6</f>
        <v>6</v>
      </c>
      <c r="I55" s="81">
        <f t="shared" si="0"/>
        <v>0</v>
      </c>
      <c r="J55" s="74">
        <v>29.8</v>
      </c>
      <c r="K55" s="83">
        <f t="shared" si="1"/>
        <v>37.548</v>
      </c>
      <c r="L55" s="82">
        <f t="shared" si="2"/>
        <v>225.288</v>
      </c>
    </row>
    <row r="56" spans="1:12" ht="12.75">
      <c r="A56" s="71" t="s">
        <v>232</v>
      </c>
      <c r="B56" s="73" t="s">
        <v>233</v>
      </c>
      <c r="C56" s="192" t="s">
        <v>234</v>
      </c>
      <c r="D56" s="192"/>
      <c r="E56" s="73"/>
      <c r="F56" s="74" t="s">
        <v>137</v>
      </c>
      <c r="G56" s="74">
        <v>1</v>
      </c>
      <c r="H56" s="80">
        <f>1</f>
        <v>1</v>
      </c>
      <c r="I56" s="81">
        <f t="shared" si="0"/>
        <v>0</v>
      </c>
      <c r="J56" s="74">
        <v>29.8</v>
      </c>
      <c r="K56" s="83">
        <f t="shared" si="1"/>
        <v>37.548</v>
      </c>
      <c r="L56" s="82">
        <f t="shared" si="2"/>
        <v>37.548</v>
      </c>
    </row>
    <row r="57" spans="1:12" ht="12.75">
      <c r="A57" s="71" t="s">
        <v>235</v>
      </c>
      <c r="B57" s="73" t="s">
        <v>236</v>
      </c>
      <c r="C57" s="192" t="s">
        <v>237</v>
      </c>
      <c r="D57" s="192"/>
      <c r="E57" s="73"/>
      <c r="F57" s="74" t="s">
        <v>137</v>
      </c>
      <c r="G57" s="74">
        <v>2</v>
      </c>
      <c r="H57" s="80">
        <f>2</f>
        <v>2</v>
      </c>
      <c r="I57" s="81">
        <f t="shared" si="0"/>
        <v>0</v>
      </c>
      <c r="J57" s="74">
        <v>15</v>
      </c>
      <c r="K57" s="83">
        <f t="shared" si="1"/>
        <v>18.9</v>
      </c>
      <c r="L57" s="82">
        <f t="shared" si="2"/>
        <v>37.8</v>
      </c>
    </row>
    <row r="58" spans="1:12" ht="12.75">
      <c r="A58" s="71" t="s">
        <v>238</v>
      </c>
      <c r="B58" s="73" t="s">
        <v>239</v>
      </c>
      <c r="C58" s="192" t="s">
        <v>240</v>
      </c>
      <c r="D58" s="192"/>
      <c r="E58" s="73"/>
      <c r="F58" s="74" t="s">
        <v>137</v>
      </c>
      <c r="G58" s="74">
        <v>6</v>
      </c>
      <c r="H58" s="80">
        <f>6</f>
        <v>6</v>
      </c>
      <c r="I58" s="81">
        <f t="shared" si="0"/>
        <v>0</v>
      </c>
      <c r="J58" s="74">
        <v>56.69</v>
      </c>
      <c r="K58" s="83">
        <f t="shared" si="1"/>
        <v>71.4294</v>
      </c>
      <c r="L58" s="82">
        <f t="shared" si="2"/>
        <v>428.57640000000004</v>
      </c>
    </row>
    <row r="59" spans="1:12" ht="12.75">
      <c r="A59" s="71" t="s">
        <v>241</v>
      </c>
      <c r="B59" s="73" t="s">
        <v>242</v>
      </c>
      <c r="C59" s="192" t="s">
        <v>243</v>
      </c>
      <c r="D59" s="192"/>
      <c r="E59" s="73"/>
      <c r="F59" s="74" t="s">
        <v>137</v>
      </c>
      <c r="G59" s="74">
        <v>10</v>
      </c>
      <c r="H59" s="80">
        <f>10</f>
        <v>10</v>
      </c>
      <c r="I59" s="81">
        <f t="shared" si="0"/>
        <v>0</v>
      </c>
      <c r="J59" s="74">
        <v>6</v>
      </c>
      <c r="K59" s="83">
        <f t="shared" si="1"/>
        <v>7.5600000000000005</v>
      </c>
      <c r="L59" s="82">
        <f t="shared" si="2"/>
        <v>75.60000000000001</v>
      </c>
    </row>
    <row r="60" spans="1:12" ht="12.75">
      <c r="A60" s="71" t="s">
        <v>244</v>
      </c>
      <c r="B60" s="73" t="s">
        <v>245</v>
      </c>
      <c r="C60" s="192" t="s">
        <v>246</v>
      </c>
      <c r="D60" s="192"/>
      <c r="E60" s="73"/>
      <c r="F60" s="74" t="s">
        <v>137</v>
      </c>
      <c r="G60" s="74">
        <v>8</v>
      </c>
      <c r="H60" s="80">
        <f>8</f>
        <v>8</v>
      </c>
      <c r="I60" s="81">
        <f t="shared" si="0"/>
        <v>0</v>
      </c>
      <c r="J60" s="74">
        <v>6.1</v>
      </c>
      <c r="K60" s="83">
        <f t="shared" si="1"/>
        <v>7.686</v>
      </c>
      <c r="L60" s="82">
        <f t="shared" si="2"/>
        <v>61.488</v>
      </c>
    </row>
    <row r="61" spans="1:12" ht="12.75">
      <c r="A61" s="71" t="s">
        <v>247</v>
      </c>
      <c r="B61" s="73" t="s">
        <v>248</v>
      </c>
      <c r="C61" s="192" t="s">
        <v>249</v>
      </c>
      <c r="D61" s="192"/>
      <c r="E61" s="73"/>
      <c r="F61" s="74" t="s">
        <v>137</v>
      </c>
      <c r="G61" s="74">
        <v>26</v>
      </c>
      <c r="H61" s="80">
        <f>26</f>
        <v>26</v>
      </c>
      <c r="I61" s="81">
        <f t="shared" si="0"/>
        <v>0</v>
      </c>
      <c r="J61" s="74">
        <v>11.45</v>
      </c>
      <c r="K61" s="83">
        <f t="shared" si="1"/>
        <v>14.427</v>
      </c>
      <c r="L61" s="82">
        <f t="shared" si="2"/>
        <v>375.102</v>
      </c>
    </row>
    <row r="62" spans="1:12" ht="12.75">
      <c r="A62" s="71" t="s">
        <v>250</v>
      </c>
      <c r="B62" s="73" t="s">
        <v>111</v>
      </c>
      <c r="C62" s="192" t="s">
        <v>251</v>
      </c>
      <c r="D62" s="192"/>
      <c r="E62" s="73"/>
      <c r="F62" s="74" t="s">
        <v>137</v>
      </c>
      <c r="G62" s="74">
        <v>6</v>
      </c>
      <c r="H62" s="80">
        <f>6</f>
        <v>6</v>
      </c>
      <c r="I62" s="81">
        <f t="shared" si="0"/>
        <v>0</v>
      </c>
      <c r="J62" s="74">
        <v>40.9</v>
      </c>
      <c r="K62" s="83">
        <f t="shared" si="1"/>
        <v>51.534</v>
      </c>
      <c r="L62" s="82">
        <f t="shared" si="2"/>
        <v>309.204</v>
      </c>
    </row>
    <row r="63" spans="1:12" ht="30.75" customHeight="1">
      <c r="A63" s="71" t="s">
        <v>252</v>
      </c>
      <c r="B63" s="73" t="s">
        <v>253</v>
      </c>
      <c r="C63" s="195" t="s">
        <v>254</v>
      </c>
      <c r="D63" s="195"/>
      <c r="E63" s="73"/>
      <c r="F63" s="74" t="s">
        <v>137</v>
      </c>
      <c r="G63" s="74">
        <v>26</v>
      </c>
      <c r="H63" s="80"/>
      <c r="I63" s="81">
        <f t="shared" si="0"/>
        <v>26</v>
      </c>
      <c r="J63" s="74">
        <v>1389.11</v>
      </c>
      <c r="K63" s="83">
        <f t="shared" si="1"/>
        <v>1750.2785999999999</v>
      </c>
      <c r="L63" s="82">
        <f t="shared" si="2"/>
        <v>45507.243599999994</v>
      </c>
    </row>
    <row r="64" spans="1:12" ht="12.75">
      <c r="A64" s="73"/>
      <c r="B64" s="73"/>
      <c r="C64" s="192"/>
      <c r="D64" s="192"/>
      <c r="E64" s="73"/>
      <c r="F64" s="74"/>
      <c r="G64" s="74"/>
      <c r="H64" s="80"/>
      <c r="I64" s="81">
        <f t="shared" si="0"/>
        <v>0</v>
      </c>
      <c r="J64" s="74"/>
      <c r="K64" s="83"/>
      <c r="L64" s="82"/>
    </row>
    <row r="65" spans="1:12" ht="12.75">
      <c r="A65" s="74">
        <v>6</v>
      </c>
      <c r="B65" s="73"/>
      <c r="C65" s="192" t="s">
        <v>255</v>
      </c>
      <c r="D65" s="192"/>
      <c r="E65" s="73"/>
      <c r="F65" s="74"/>
      <c r="G65" s="74"/>
      <c r="H65" s="80"/>
      <c r="I65" s="81">
        <f t="shared" si="0"/>
        <v>0</v>
      </c>
      <c r="J65" s="74"/>
      <c r="K65" s="83"/>
      <c r="L65" s="82"/>
    </row>
    <row r="66" spans="1:12" ht="12.75">
      <c r="A66" s="71" t="s">
        <v>256</v>
      </c>
      <c r="B66" s="73"/>
      <c r="C66" s="192" t="s">
        <v>257</v>
      </c>
      <c r="D66" s="192"/>
      <c r="E66" s="73"/>
      <c r="F66" s="74"/>
      <c r="G66" s="74"/>
      <c r="H66" s="80"/>
      <c r="I66" s="81">
        <f t="shared" si="0"/>
        <v>0</v>
      </c>
      <c r="J66" s="74"/>
      <c r="K66" s="83"/>
      <c r="L66" s="82"/>
    </row>
    <row r="67" spans="1:12" ht="30" customHeight="1">
      <c r="A67" s="71" t="s">
        <v>258</v>
      </c>
      <c r="B67" s="73" t="s">
        <v>58</v>
      </c>
      <c r="C67" s="195" t="s">
        <v>259</v>
      </c>
      <c r="D67" s="195"/>
      <c r="E67" s="73"/>
      <c r="F67" s="74" t="s">
        <v>133</v>
      </c>
      <c r="G67" s="84">
        <v>1099.76</v>
      </c>
      <c r="H67" s="85">
        <f>934.8+164.96</f>
        <v>1099.76</v>
      </c>
      <c r="I67" s="81">
        <f t="shared" si="0"/>
        <v>0</v>
      </c>
      <c r="J67" s="74">
        <v>37.25</v>
      </c>
      <c r="K67" s="83">
        <f t="shared" si="1"/>
        <v>46.935</v>
      </c>
      <c r="L67" s="82">
        <f t="shared" si="2"/>
        <v>51617.2356</v>
      </c>
    </row>
    <row r="68" spans="1:12" ht="30.75" customHeight="1">
      <c r="A68" s="71" t="s">
        <v>260</v>
      </c>
      <c r="B68" s="73" t="s">
        <v>261</v>
      </c>
      <c r="C68" s="195" t="s">
        <v>262</v>
      </c>
      <c r="D68" s="195"/>
      <c r="E68" s="73"/>
      <c r="F68" s="74" t="s">
        <v>133</v>
      </c>
      <c r="G68" s="74">
        <v>999.18</v>
      </c>
      <c r="H68" s="80">
        <f>505.27</f>
        <v>505.27</v>
      </c>
      <c r="I68" s="81">
        <f t="shared" si="0"/>
        <v>493.90999999999997</v>
      </c>
      <c r="J68" s="74">
        <v>58.15</v>
      </c>
      <c r="K68" s="83">
        <f t="shared" si="1"/>
        <v>73.269</v>
      </c>
      <c r="L68" s="82">
        <f t="shared" si="2"/>
        <v>73208.91942</v>
      </c>
    </row>
    <row r="69" spans="1:12" ht="12.75">
      <c r="A69" s="73"/>
      <c r="B69" s="73"/>
      <c r="C69" s="193"/>
      <c r="D69" s="193"/>
      <c r="E69" s="73"/>
      <c r="F69" s="74"/>
      <c r="G69" s="74"/>
      <c r="H69" s="80">
        <f>H68-494.22</f>
        <v>11.049999999999955</v>
      </c>
      <c r="I69" s="81">
        <f t="shared" si="0"/>
        <v>-11.049999999999955</v>
      </c>
      <c r="J69" s="74"/>
      <c r="K69" s="83"/>
      <c r="L69" s="82"/>
    </row>
    <row r="70" spans="1:12" ht="12.75">
      <c r="A70" s="74">
        <v>7</v>
      </c>
      <c r="B70" s="73"/>
      <c r="C70" s="192" t="s">
        <v>63</v>
      </c>
      <c r="D70" s="192"/>
      <c r="E70" s="73"/>
      <c r="F70" s="74"/>
      <c r="G70" s="74"/>
      <c r="H70" s="80"/>
      <c r="I70" s="81">
        <f t="shared" si="0"/>
        <v>0</v>
      </c>
      <c r="J70" s="74"/>
      <c r="K70" s="83"/>
      <c r="L70" s="82"/>
    </row>
    <row r="71" spans="1:12" ht="12.75">
      <c r="A71" s="71" t="s">
        <v>263</v>
      </c>
      <c r="B71" s="73"/>
      <c r="C71" s="192" t="s">
        <v>264</v>
      </c>
      <c r="D71" s="192"/>
      <c r="E71" s="73"/>
      <c r="F71" s="74"/>
      <c r="G71" s="74"/>
      <c r="H71" s="80"/>
      <c r="I71" s="81">
        <f t="shared" si="0"/>
        <v>0</v>
      </c>
      <c r="J71" s="74"/>
      <c r="K71" s="83"/>
      <c r="L71" s="82"/>
    </row>
    <row r="72" spans="1:12" ht="12.75">
      <c r="A72" s="71" t="s">
        <v>265</v>
      </c>
      <c r="B72" s="73" t="s">
        <v>266</v>
      </c>
      <c r="C72" s="192" t="s">
        <v>267</v>
      </c>
      <c r="D72" s="192"/>
      <c r="E72" s="73"/>
      <c r="F72" s="74" t="s">
        <v>133</v>
      </c>
      <c r="G72" s="74">
        <v>196.37</v>
      </c>
      <c r="H72" s="80">
        <f>196.37</f>
        <v>196.37</v>
      </c>
      <c r="I72" s="81">
        <f t="shared" si="0"/>
        <v>0</v>
      </c>
      <c r="J72" s="74">
        <v>30.32</v>
      </c>
      <c r="K72" s="83">
        <f t="shared" si="1"/>
        <v>38.2032</v>
      </c>
      <c r="L72" s="82">
        <f t="shared" si="2"/>
        <v>7501.962384</v>
      </c>
    </row>
    <row r="73" spans="1:12" ht="30.75" customHeight="1">
      <c r="A73" s="71" t="s">
        <v>268</v>
      </c>
      <c r="B73" s="73" t="s">
        <v>269</v>
      </c>
      <c r="C73" s="195" t="s">
        <v>270</v>
      </c>
      <c r="D73" s="195"/>
      <c r="E73" s="73"/>
      <c r="F73" s="74" t="s">
        <v>271</v>
      </c>
      <c r="G73" s="74">
        <v>14.55</v>
      </c>
      <c r="H73" s="80">
        <f>14.55</f>
        <v>14.55</v>
      </c>
      <c r="I73" s="81">
        <f t="shared" si="0"/>
        <v>0</v>
      </c>
      <c r="J73" s="74">
        <v>1130</v>
      </c>
      <c r="K73" s="83">
        <f t="shared" si="1"/>
        <v>1423.8</v>
      </c>
      <c r="L73" s="82">
        <f t="shared" si="2"/>
        <v>20716.29</v>
      </c>
    </row>
    <row r="74" spans="1:12" ht="12.75">
      <c r="A74" s="71" t="s">
        <v>272</v>
      </c>
      <c r="B74" s="73" t="s">
        <v>273</v>
      </c>
      <c r="C74" s="192" t="s">
        <v>274</v>
      </c>
      <c r="D74" s="192"/>
      <c r="E74" s="73"/>
      <c r="F74" s="74" t="s">
        <v>271</v>
      </c>
      <c r="G74" s="74">
        <v>766.52</v>
      </c>
      <c r="H74" s="80">
        <f>766.52</f>
        <v>766.52</v>
      </c>
      <c r="I74" s="81">
        <f t="shared" si="0"/>
        <v>0</v>
      </c>
      <c r="J74" s="74">
        <v>25</v>
      </c>
      <c r="K74" s="83">
        <f t="shared" si="1"/>
        <v>31.5</v>
      </c>
      <c r="L74" s="82">
        <f t="shared" si="2"/>
        <v>24145.38</v>
      </c>
    </row>
    <row r="75" spans="1:12" ht="12.75">
      <c r="A75" s="71" t="s">
        <v>275</v>
      </c>
      <c r="B75" s="73" t="s">
        <v>276</v>
      </c>
      <c r="C75" s="192" t="s">
        <v>277</v>
      </c>
      <c r="D75" s="192"/>
      <c r="E75" s="73"/>
      <c r="F75" s="74" t="s">
        <v>133</v>
      </c>
      <c r="G75" s="74">
        <v>232.74</v>
      </c>
      <c r="H75" s="80">
        <v>232.74</v>
      </c>
      <c r="I75" s="81">
        <f aca="true" t="shared" si="3" ref="I75:I81">G75-H75</f>
        <v>0</v>
      </c>
      <c r="J75" s="74">
        <v>3.59</v>
      </c>
      <c r="K75" s="83">
        <f aca="true" t="shared" si="4" ref="K75:K81">(J75*0.26)+J75</f>
        <v>4.5234</v>
      </c>
      <c r="L75" s="82">
        <f aca="true" t="shared" si="5" ref="L75:L81">G75*K75</f>
        <v>1052.776116</v>
      </c>
    </row>
    <row r="76" spans="1:12" ht="30.75" customHeight="1">
      <c r="A76" s="71" t="s">
        <v>278</v>
      </c>
      <c r="B76" s="73" t="s">
        <v>279</v>
      </c>
      <c r="C76" s="195" t="s">
        <v>280</v>
      </c>
      <c r="D76" s="195"/>
      <c r="E76" s="73"/>
      <c r="F76" s="74" t="s">
        <v>133</v>
      </c>
      <c r="G76" s="74">
        <v>232.74</v>
      </c>
      <c r="H76" s="80">
        <v>232.74</v>
      </c>
      <c r="I76" s="81">
        <f t="shared" si="3"/>
        <v>0</v>
      </c>
      <c r="J76" s="74">
        <v>21.12</v>
      </c>
      <c r="K76" s="83">
        <f t="shared" si="4"/>
        <v>26.6112</v>
      </c>
      <c r="L76" s="82">
        <f t="shared" si="5"/>
        <v>6193.490688</v>
      </c>
    </row>
    <row r="77" spans="1:12" ht="12.75">
      <c r="A77" s="71" t="s">
        <v>281</v>
      </c>
      <c r="B77" s="73" t="s">
        <v>64</v>
      </c>
      <c r="C77" s="196" t="s">
        <v>65</v>
      </c>
      <c r="D77" s="196"/>
      <c r="E77" s="73"/>
      <c r="F77" s="74" t="s">
        <v>133</v>
      </c>
      <c r="G77" s="74">
        <v>232.74</v>
      </c>
      <c r="H77" s="80">
        <f>232.74</f>
        <v>232.74</v>
      </c>
      <c r="I77" s="81">
        <f t="shared" si="3"/>
        <v>0</v>
      </c>
      <c r="J77" s="74">
        <v>3.3</v>
      </c>
      <c r="K77" s="83">
        <f t="shared" si="4"/>
        <v>4.1579999999999995</v>
      </c>
      <c r="L77" s="82">
        <f t="shared" si="5"/>
        <v>967.7329199999999</v>
      </c>
    </row>
    <row r="78" spans="1:12" ht="33" customHeight="1">
      <c r="A78" s="71" t="s">
        <v>282</v>
      </c>
      <c r="B78" s="73" t="s">
        <v>66</v>
      </c>
      <c r="C78" s="195" t="s">
        <v>283</v>
      </c>
      <c r="D78" s="195"/>
      <c r="E78" s="73"/>
      <c r="F78" s="74" t="s">
        <v>133</v>
      </c>
      <c r="G78" s="74">
        <v>232.74</v>
      </c>
      <c r="H78" s="80">
        <f>232.74</f>
        <v>232.74</v>
      </c>
      <c r="I78" s="81">
        <f t="shared" si="3"/>
        <v>0</v>
      </c>
      <c r="J78" s="74">
        <v>9.35</v>
      </c>
      <c r="K78" s="83">
        <f t="shared" si="4"/>
        <v>11.780999999999999</v>
      </c>
      <c r="L78" s="82">
        <f t="shared" si="5"/>
        <v>2741.90994</v>
      </c>
    </row>
    <row r="79" spans="1:12" ht="30.75" customHeight="1">
      <c r="A79" s="71" t="s">
        <v>284</v>
      </c>
      <c r="B79" s="73" t="s">
        <v>285</v>
      </c>
      <c r="C79" s="195" t="s">
        <v>286</v>
      </c>
      <c r="D79" s="195"/>
      <c r="E79" s="73"/>
      <c r="F79" s="74" t="s">
        <v>133</v>
      </c>
      <c r="G79" s="74">
        <v>564.37</v>
      </c>
      <c r="H79" s="80">
        <f>564.37</f>
        <v>564.37</v>
      </c>
      <c r="I79" s="81">
        <f t="shared" si="3"/>
        <v>0</v>
      </c>
      <c r="J79" s="74">
        <v>29.75</v>
      </c>
      <c r="K79" s="83">
        <f t="shared" si="4"/>
        <v>37.485</v>
      </c>
      <c r="L79" s="82">
        <f t="shared" si="5"/>
        <v>21155.40945</v>
      </c>
    </row>
    <row r="80" spans="1:12" ht="30" customHeight="1">
      <c r="A80" s="71" t="s">
        <v>287</v>
      </c>
      <c r="B80" s="73" t="s">
        <v>288</v>
      </c>
      <c r="C80" s="195" t="s">
        <v>289</v>
      </c>
      <c r="D80" s="195"/>
      <c r="E80" s="73"/>
      <c r="F80" s="74" t="s">
        <v>271</v>
      </c>
      <c r="G80" s="74">
        <v>6.2</v>
      </c>
      <c r="H80" s="80">
        <f>6.2</f>
        <v>6.2</v>
      </c>
      <c r="I80" s="81">
        <f t="shared" si="3"/>
        <v>0</v>
      </c>
      <c r="J80" s="74">
        <v>1771.35</v>
      </c>
      <c r="K80" s="83">
        <f t="shared" si="4"/>
        <v>2231.901</v>
      </c>
      <c r="L80" s="82">
        <f t="shared" si="5"/>
        <v>13837.786199999999</v>
      </c>
    </row>
    <row r="81" spans="1:12" ht="30" customHeight="1">
      <c r="A81" s="71" t="s">
        <v>290</v>
      </c>
      <c r="B81" s="73" t="s">
        <v>291</v>
      </c>
      <c r="C81" s="195" t="s">
        <v>292</v>
      </c>
      <c r="D81" s="195"/>
      <c r="E81" s="73"/>
      <c r="F81" s="74" t="s">
        <v>23</v>
      </c>
      <c r="G81" s="74">
        <v>139.66</v>
      </c>
      <c r="H81" s="80">
        <v>139.66</v>
      </c>
      <c r="I81" s="81">
        <f t="shared" si="3"/>
        <v>0</v>
      </c>
      <c r="J81" s="74">
        <v>273.15</v>
      </c>
      <c r="K81" s="83">
        <f t="shared" si="4"/>
        <v>344.169</v>
      </c>
      <c r="L81" s="82">
        <f t="shared" si="5"/>
        <v>48066.64253999999</v>
      </c>
    </row>
    <row r="82" spans="1:12" ht="12.75">
      <c r="A82" s="73"/>
      <c r="B82" s="73"/>
      <c r="C82" s="193"/>
      <c r="D82" s="193"/>
      <c r="E82" s="73"/>
      <c r="F82" s="73"/>
      <c r="G82" s="74"/>
      <c r="H82" s="80"/>
      <c r="I82" s="81"/>
      <c r="J82" s="74"/>
      <c r="K82" s="74"/>
      <c r="L82" s="82"/>
    </row>
    <row r="83" spans="1:12" ht="14.25">
      <c r="A83" s="194" t="s">
        <v>38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86">
        <v>415578.43</v>
      </c>
    </row>
    <row r="85" ht="12.75">
      <c r="L85">
        <v>308847.22</v>
      </c>
    </row>
    <row r="86" ht="12.75">
      <c r="L86" s="95">
        <f>L85/L83</f>
        <v>0.7431743269254855</v>
      </c>
    </row>
  </sheetData>
  <sheetProtection/>
  <mergeCells count="86">
    <mergeCell ref="A1:L1"/>
    <mergeCell ref="A2:F2"/>
    <mergeCell ref="G2:L2"/>
    <mergeCell ref="A3:F3"/>
    <mergeCell ref="G3:L3"/>
    <mergeCell ref="C7:E7"/>
    <mergeCell ref="C8:E8"/>
    <mergeCell ref="C9:E9"/>
    <mergeCell ref="C10:E10"/>
    <mergeCell ref="D4:L4"/>
    <mergeCell ref="D5:J6"/>
    <mergeCell ref="K5:L5"/>
    <mergeCell ref="K6:L6"/>
    <mergeCell ref="C15:D15"/>
    <mergeCell ref="C16:D16"/>
    <mergeCell ref="C17:D17"/>
    <mergeCell ref="C18:D18"/>
    <mergeCell ref="C11:E11"/>
    <mergeCell ref="C12:E12"/>
    <mergeCell ref="C13:E13"/>
    <mergeCell ref="C14:D14"/>
    <mergeCell ref="C23:D23"/>
    <mergeCell ref="C24:D24"/>
    <mergeCell ref="C25:D25"/>
    <mergeCell ref="C26:D26"/>
    <mergeCell ref="C19:D19"/>
    <mergeCell ref="C20:D20"/>
    <mergeCell ref="C21:D21"/>
    <mergeCell ref="C22:D22"/>
    <mergeCell ref="C31:D31"/>
    <mergeCell ref="C32:D32"/>
    <mergeCell ref="C33:D33"/>
    <mergeCell ref="C34:D34"/>
    <mergeCell ref="C27:D27"/>
    <mergeCell ref="C28:D28"/>
    <mergeCell ref="C29:D29"/>
    <mergeCell ref="C30:D30"/>
    <mergeCell ref="C39:D39"/>
    <mergeCell ref="C40:D40"/>
    <mergeCell ref="C41:D41"/>
    <mergeCell ref="C42:D42"/>
    <mergeCell ref="C35:D35"/>
    <mergeCell ref="C36:D36"/>
    <mergeCell ref="C37:D37"/>
    <mergeCell ref="C38:D38"/>
    <mergeCell ref="C47:D47"/>
    <mergeCell ref="C48:D48"/>
    <mergeCell ref="C49:D49"/>
    <mergeCell ref="C50:D50"/>
    <mergeCell ref="C43:D43"/>
    <mergeCell ref="C44:D44"/>
    <mergeCell ref="C45:D45"/>
    <mergeCell ref="C46:D46"/>
    <mergeCell ref="C55:D55"/>
    <mergeCell ref="C56:D56"/>
    <mergeCell ref="C57:D57"/>
    <mergeCell ref="C58:D58"/>
    <mergeCell ref="C51:D51"/>
    <mergeCell ref="C52:D52"/>
    <mergeCell ref="C53:D53"/>
    <mergeCell ref="C54:D54"/>
    <mergeCell ref="C63:D63"/>
    <mergeCell ref="C64:D64"/>
    <mergeCell ref="C65:D65"/>
    <mergeCell ref="C66:D66"/>
    <mergeCell ref="C59:D59"/>
    <mergeCell ref="C60:D60"/>
    <mergeCell ref="C61:D61"/>
    <mergeCell ref="C62:D62"/>
    <mergeCell ref="C71:D71"/>
    <mergeCell ref="C72:D72"/>
    <mergeCell ref="C73:D73"/>
    <mergeCell ref="C74:D74"/>
    <mergeCell ref="C67:D67"/>
    <mergeCell ref="C68:D68"/>
    <mergeCell ref="C69:D69"/>
    <mergeCell ref="C70:D70"/>
    <mergeCell ref="C75:D75"/>
    <mergeCell ref="C82:D82"/>
    <mergeCell ref="A83:K83"/>
    <mergeCell ref="C76:D76"/>
    <mergeCell ref="C77:D77"/>
    <mergeCell ref="C78:D78"/>
    <mergeCell ref="C79:D79"/>
    <mergeCell ref="C80:D80"/>
    <mergeCell ref="C81:D8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45"/>
  <sheetViews>
    <sheetView showGridLines="0" showZeros="0" tabSelected="1" view="pageBreakPreview" zoomScale="110" zoomScaleNormal="75" zoomScaleSheetLayoutView="110" zoomScalePageLayoutView="0" workbookViewId="0" topLeftCell="A1">
      <selection activeCell="A2" sqref="A2:J2"/>
    </sheetView>
  </sheetViews>
  <sheetFormatPr defaultColWidth="9.140625" defaultRowHeight="12.75"/>
  <cols>
    <col min="1" max="1" width="10.57421875" style="44" customWidth="1"/>
    <col min="2" max="2" width="51.00390625" style="44" customWidth="1"/>
    <col min="3" max="3" width="14.421875" style="45" customWidth="1"/>
    <col min="4" max="4" width="14.00390625" style="45" bestFit="1" customWidth="1"/>
    <col min="5" max="5" width="11.7109375" style="44" customWidth="1"/>
    <col min="6" max="6" width="11.57421875" style="44" customWidth="1"/>
    <col min="7" max="8" width="11.8515625" style="44" customWidth="1"/>
    <col min="9" max="9" width="12.140625" style="44" customWidth="1"/>
    <col min="10" max="10" width="12.00390625" style="128" customWidth="1"/>
    <col min="11" max="11" width="14.7109375" style="44" bestFit="1" customWidth="1"/>
    <col min="12" max="13" width="10.7109375" style="44" customWidth="1"/>
    <col min="14" max="16384" width="9.140625" style="44" customWidth="1"/>
  </cols>
  <sheetData>
    <row r="1" spans="1:13" ht="69.75" customHeight="1">
      <c r="A1" s="213"/>
      <c r="B1" s="214"/>
      <c r="C1" s="214"/>
      <c r="D1" s="214"/>
      <c r="E1" s="214"/>
      <c r="F1" s="214"/>
      <c r="G1" s="214"/>
      <c r="H1" s="214"/>
      <c r="I1" s="214"/>
      <c r="J1" s="215"/>
      <c r="K1" s="129"/>
      <c r="L1" s="129"/>
      <c r="M1" s="129"/>
    </row>
    <row r="2" spans="1:13" ht="18" customHeight="1">
      <c r="A2" s="210" t="s">
        <v>27</v>
      </c>
      <c r="B2" s="211"/>
      <c r="C2" s="211"/>
      <c r="D2" s="211"/>
      <c r="E2" s="211"/>
      <c r="F2" s="211"/>
      <c r="G2" s="211"/>
      <c r="H2" s="211"/>
      <c r="I2" s="211"/>
      <c r="J2" s="212"/>
      <c r="K2" s="130"/>
      <c r="L2" s="130"/>
      <c r="M2" s="130"/>
    </row>
    <row r="3" spans="1:13" ht="15.75" customHeight="1">
      <c r="A3" s="216" t="e">
        <f>#REF!</f>
        <v>#REF!</v>
      </c>
      <c r="B3" s="217"/>
      <c r="C3" s="211" t="s">
        <v>310</v>
      </c>
      <c r="D3" s="211"/>
      <c r="E3" s="211"/>
      <c r="F3" s="220" t="s">
        <v>308</v>
      </c>
      <c r="G3" s="220"/>
      <c r="H3" s="220"/>
      <c r="I3" s="211" t="s">
        <v>309</v>
      </c>
      <c r="J3" s="212"/>
      <c r="K3" s="130"/>
      <c r="L3" s="130"/>
      <c r="M3" s="130"/>
    </row>
    <row r="4" spans="1:13" ht="10.5" customHeight="1">
      <c r="A4" s="218"/>
      <c r="B4" s="219"/>
      <c r="C4" s="211"/>
      <c r="D4" s="211"/>
      <c r="E4" s="211"/>
      <c r="F4" s="220"/>
      <c r="G4" s="220"/>
      <c r="H4" s="220"/>
      <c r="I4" s="211"/>
      <c r="J4" s="212"/>
      <c r="K4" s="130"/>
      <c r="L4" s="130"/>
      <c r="M4" s="130"/>
    </row>
    <row r="5" spans="1:13" ht="28.5" customHeight="1">
      <c r="A5" s="122" t="s">
        <v>0</v>
      </c>
      <c r="B5" s="113" t="s">
        <v>28</v>
      </c>
      <c r="C5" s="114" t="s">
        <v>29</v>
      </c>
      <c r="D5" s="114" t="s">
        <v>30</v>
      </c>
      <c r="E5" s="113" t="s">
        <v>31</v>
      </c>
      <c r="F5" s="113" t="s">
        <v>32</v>
      </c>
      <c r="G5" s="113" t="s">
        <v>33</v>
      </c>
      <c r="H5" s="113" t="s">
        <v>34</v>
      </c>
      <c r="I5" s="113" t="s">
        <v>35</v>
      </c>
      <c r="J5" s="134" t="s">
        <v>304</v>
      </c>
      <c r="K5" s="131"/>
      <c r="L5" s="131"/>
      <c r="M5" s="131"/>
    </row>
    <row r="6" spans="1:13" ht="14.25" customHeight="1">
      <c r="A6" s="204">
        <v>1</v>
      </c>
      <c r="B6" s="205" t="e">
        <f>#REF!</f>
        <v>#REF!</v>
      </c>
      <c r="C6" s="115" t="s">
        <v>36</v>
      </c>
      <c r="D6" s="117" t="e">
        <f>D7/D39</f>
        <v>#REF!</v>
      </c>
      <c r="E6" s="117" t="e">
        <f>E7/D7</f>
        <v>#REF!</v>
      </c>
      <c r="F6" s="117" t="e">
        <f>F7/D7</f>
        <v>#REF!</v>
      </c>
      <c r="G6" s="117" t="e">
        <f>G7/D7</f>
        <v>#REF!</v>
      </c>
      <c r="H6" s="117" t="e">
        <f>H7/D7</f>
        <v>#REF!</v>
      </c>
      <c r="I6" s="117" t="e">
        <f>I7/D7</f>
        <v>#REF!</v>
      </c>
      <c r="J6" s="143" t="e">
        <f>J7/D7</f>
        <v>#REF!</v>
      </c>
      <c r="K6" s="148"/>
      <c r="L6" s="132"/>
      <c r="M6" s="132"/>
    </row>
    <row r="7" spans="1:13" ht="14.25" customHeight="1">
      <c r="A7" s="204"/>
      <c r="B7" s="205"/>
      <c r="C7" s="115" t="s">
        <v>37</v>
      </c>
      <c r="D7" s="119" t="e">
        <f>#REF!</f>
        <v>#REF!</v>
      </c>
      <c r="E7" s="119">
        <v>4667</v>
      </c>
      <c r="F7" s="119">
        <v>4667</v>
      </c>
      <c r="G7" s="119">
        <v>4667</v>
      </c>
      <c r="H7" s="119">
        <v>4667</v>
      </c>
      <c r="I7" s="119">
        <v>4667</v>
      </c>
      <c r="J7" s="144">
        <v>4666.72</v>
      </c>
      <c r="K7" s="148"/>
      <c r="L7" s="133"/>
      <c r="M7" s="133"/>
    </row>
    <row r="8" spans="1:13" ht="14.25" customHeight="1" hidden="1">
      <c r="A8" s="204">
        <v>2</v>
      </c>
      <c r="B8" s="142" t="s">
        <v>296</v>
      </c>
      <c r="C8" s="115"/>
      <c r="D8" s="117"/>
      <c r="E8" s="117"/>
      <c r="F8" s="117"/>
      <c r="G8" s="117"/>
      <c r="H8" s="118"/>
      <c r="I8" s="117"/>
      <c r="J8" s="135"/>
      <c r="K8" s="148"/>
      <c r="L8" s="133"/>
      <c r="M8" s="133"/>
    </row>
    <row r="9" spans="1:13" ht="14.25" customHeight="1" hidden="1">
      <c r="A9" s="204"/>
      <c r="B9" s="142" t="s">
        <v>297</v>
      </c>
      <c r="C9" s="115"/>
      <c r="D9" s="119"/>
      <c r="E9" s="119"/>
      <c r="F9" s="119"/>
      <c r="G9" s="119"/>
      <c r="H9" s="119"/>
      <c r="I9" s="119"/>
      <c r="J9" s="135"/>
      <c r="K9" s="148"/>
      <c r="L9" s="133"/>
      <c r="M9" s="133"/>
    </row>
    <row r="10" spans="1:13" ht="14.25" customHeight="1" hidden="1">
      <c r="A10" s="204">
        <v>3</v>
      </c>
      <c r="B10" s="120" t="s">
        <v>298</v>
      </c>
      <c r="C10" s="115"/>
      <c r="D10" s="117"/>
      <c r="E10" s="117"/>
      <c r="F10" s="117"/>
      <c r="G10" s="117"/>
      <c r="H10" s="118"/>
      <c r="I10" s="117"/>
      <c r="J10" s="135"/>
      <c r="K10" s="148"/>
      <c r="L10" s="133"/>
      <c r="M10" s="133"/>
    </row>
    <row r="11" spans="1:13" ht="14.25" customHeight="1" hidden="1">
      <c r="A11" s="204"/>
      <c r="B11" s="142" t="s">
        <v>302</v>
      </c>
      <c r="C11" s="115"/>
      <c r="D11" s="119"/>
      <c r="E11" s="119"/>
      <c r="F11" s="119"/>
      <c r="G11" s="119"/>
      <c r="H11" s="119"/>
      <c r="I11" s="119"/>
      <c r="J11" s="135"/>
      <c r="K11" s="148"/>
      <c r="L11" s="133"/>
      <c r="M11" s="133"/>
    </row>
    <row r="12" spans="1:13" ht="14.25" customHeight="1" hidden="1">
      <c r="A12" s="204">
        <v>4</v>
      </c>
      <c r="B12" s="142" t="s">
        <v>300</v>
      </c>
      <c r="C12" s="115"/>
      <c r="D12" s="117"/>
      <c r="E12" s="117"/>
      <c r="F12" s="117"/>
      <c r="G12" s="117"/>
      <c r="H12" s="118"/>
      <c r="I12" s="117"/>
      <c r="J12" s="135"/>
      <c r="K12" s="148"/>
      <c r="L12" s="133"/>
      <c r="M12" s="133"/>
    </row>
    <row r="13" spans="1:13" ht="14.25" customHeight="1" hidden="1">
      <c r="A13" s="204"/>
      <c r="B13" s="142" t="s">
        <v>299</v>
      </c>
      <c r="C13" s="115"/>
      <c r="D13" s="119"/>
      <c r="E13" s="119"/>
      <c r="F13" s="119"/>
      <c r="G13" s="119"/>
      <c r="H13" s="119"/>
      <c r="I13" s="119"/>
      <c r="J13" s="135"/>
      <c r="K13" s="148"/>
      <c r="L13" s="133"/>
      <c r="M13" s="133"/>
    </row>
    <row r="14" spans="1:13" ht="14.25" customHeight="1" hidden="1">
      <c r="A14" s="204">
        <v>5</v>
      </c>
      <c r="B14" s="142" t="s">
        <v>303</v>
      </c>
      <c r="C14" s="115"/>
      <c r="D14" s="117"/>
      <c r="E14" s="117"/>
      <c r="F14" s="117"/>
      <c r="G14" s="117"/>
      <c r="H14" s="118"/>
      <c r="I14" s="117"/>
      <c r="J14" s="135"/>
      <c r="K14" s="148"/>
      <c r="L14" s="133"/>
      <c r="M14" s="133"/>
    </row>
    <row r="15" spans="1:13" ht="14.25" customHeight="1" hidden="1">
      <c r="A15" s="204"/>
      <c r="B15" s="142" t="s">
        <v>301</v>
      </c>
      <c r="C15" s="115"/>
      <c r="D15" s="119"/>
      <c r="E15" s="119"/>
      <c r="F15" s="119"/>
      <c r="G15" s="119"/>
      <c r="H15" s="119"/>
      <c r="I15" s="119"/>
      <c r="J15" s="135"/>
      <c r="K15" s="148"/>
      <c r="L15" s="133"/>
      <c r="M15" s="133"/>
    </row>
    <row r="16" spans="1:13" ht="14.25" customHeight="1">
      <c r="A16" s="204">
        <v>2</v>
      </c>
      <c r="B16" s="205" t="e">
        <f>#REF!</f>
        <v>#REF!</v>
      </c>
      <c r="C16" s="115" t="s">
        <v>36</v>
      </c>
      <c r="D16" s="117" t="e">
        <f>D17/D39</f>
        <v>#REF!</v>
      </c>
      <c r="E16" s="117">
        <v>1</v>
      </c>
      <c r="F16" s="117"/>
      <c r="G16" s="117"/>
      <c r="H16" s="118"/>
      <c r="I16" s="117"/>
      <c r="J16" s="135"/>
      <c r="K16" s="148"/>
      <c r="L16" s="133"/>
      <c r="M16" s="133"/>
    </row>
    <row r="17" spans="1:13" ht="14.25" customHeight="1">
      <c r="A17" s="204"/>
      <c r="B17" s="205"/>
      <c r="C17" s="115" t="s">
        <v>37</v>
      </c>
      <c r="D17" s="119" t="e">
        <f>#REF!</f>
        <v>#REF!</v>
      </c>
      <c r="E17" s="119" t="e">
        <f>D17*E16</f>
        <v>#REF!</v>
      </c>
      <c r="F17" s="119"/>
      <c r="G17" s="119"/>
      <c r="H17" s="119"/>
      <c r="I17" s="119"/>
      <c r="J17" s="135"/>
      <c r="K17" s="148"/>
      <c r="L17" s="138"/>
      <c r="M17" s="133"/>
    </row>
    <row r="18" spans="1:13" ht="14.25" customHeight="1">
      <c r="A18" s="204">
        <v>3</v>
      </c>
      <c r="B18" s="205" t="e">
        <f>#REF!</f>
        <v>#REF!</v>
      </c>
      <c r="C18" s="115" t="s">
        <v>36</v>
      </c>
      <c r="D18" s="117" t="e">
        <f>D19/D39</f>
        <v>#REF!</v>
      </c>
      <c r="E18" s="117">
        <v>0.7</v>
      </c>
      <c r="F18" s="118">
        <v>0.3</v>
      </c>
      <c r="G18" s="117"/>
      <c r="H18" s="118"/>
      <c r="I18" s="117"/>
      <c r="J18" s="135"/>
      <c r="K18" s="148"/>
      <c r="L18" s="133"/>
      <c r="M18" s="133"/>
    </row>
    <row r="19" spans="1:13" ht="14.25" customHeight="1">
      <c r="A19" s="204"/>
      <c r="B19" s="205"/>
      <c r="C19" s="115" t="s">
        <v>37</v>
      </c>
      <c r="D19" s="119" t="e">
        <f>#REF!</f>
        <v>#REF!</v>
      </c>
      <c r="E19" s="119" t="e">
        <f>D19*E18</f>
        <v>#REF!</v>
      </c>
      <c r="F19" s="119" t="e">
        <f>D19*F18</f>
        <v>#REF!</v>
      </c>
      <c r="G19" s="119" t="e">
        <f>D19*G18</f>
        <v>#REF!</v>
      </c>
      <c r="H19" s="119"/>
      <c r="I19" s="119"/>
      <c r="J19" s="135"/>
      <c r="K19" s="148"/>
      <c r="L19" s="133"/>
      <c r="M19" s="133"/>
    </row>
    <row r="20" spans="1:13" ht="14.25" customHeight="1">
      <c r="A20" s="204">
        <v>4</v>
      </c>
      <c r="B20" s="205" t="e">
        <f>#REF!</f>
        <v>#REF!</v>
      </c>
      <c r="C20" s="115" t="s">
        <v>36</v>
      </c>
      <c r="D20" s="117" t="e">
        <f>D21/D39</f>
        <v>#REF!</v>
      </c>
      <c r="E20" s="117">
        <v>0.5</v>
      </c>
      <c r="F20" s="118">
        <v>0.5</v>
      </c>
      <c r="G20" s="117"/>
      <c r="H20" s="118"/>
      <c r="I20" s="117"/>
      <c r="J20" s="135"/>
      <c r="K20" s="148"/>
      <c r="L20" s="133"/>
      <c r="M20" s="133"/>
    </row>
    <row r="21" spans="1:13" ht="14.25" customHeight="1">
      <c r="A21" s="204"/>
      <c r="B21" s="205"/>
      <c r="C21" s="115" t="s">
        <v>37</v>
      </c>
      <c r="D21" s="119" t="e">
        <f>#REF!</f>
        <v>#REF!</v>
      </c>
      <c r="E21" s="119" t="e">
        <f>D21*E20</f>
        <v>#REF!</v>
      </c>
      <c r="F21" s="119" t="e">
        <f>D21*F20</f>
        <v>#REF!</v>
      </c>
      <c r="G21" s="119"/>
      <c r="H21" s="119"/>
      <c r="I21" s="119"/>
      <c r="J21" s="135"/>
      <c r="K21" s="148"/>
      <c r="L21" s="133"/>
      <c r="M21" s="133"/>
    </row>
    <row r="22" spans="1:13" ht="14.25" customHeight="1">
      <c r="A22" s="204">
        <v>5</v>
      </c>
      <c r="B22" s="205" t="e">
        <f>#REF!</f>
        <v>#REF!</v>
      </c>
      <c r="C22" s="115" t="s">
        <v>36</v>
      </c>
      <c r="D22" s="117" t="e">
        <f>D23/D39</f>
        <v>#REF!</v>
      </c>
      <c r="E22" s="117"/>
      <c r="F22" s="117">
        <v>0.3</v>
      </c>
      <c r="G22" s="117">
        <v>0.3</v>
      </c>
      <c r="H22" s="118">
        <v>0.2</v>
      </c>
      <c r="I22" s="117">
        <v>0.2</v>
      </c>
      <c r="J22" s="135"/>
      <c r="K22" s="148"/>
      <c r="L22" s="133"/>
      <c r="M22" s="133"/>
    </row>
    <row r="23" spans="1:13" ht="14.25" customHeight="1">
      <c r="A23" s="204"/>
      <c r="B23" s="205"/>
      <c r="C23" s="115" t="s">
        <v>37</v>
      </c>
      <c r="D23" s="119" t="e">
        <f>#REF!</f>
        <v>#REF!</v>
      </c>
      <c r="E23" s="119"/>
      <c r="F23" s="119" t="e">
        <f>F22*D23</f>
        <v>#REF!</v>
      </c>
      <c r="G23" s="119" t="e">
        <f>G22*D23</f>
        <v>#REF!</v>
      </c>
      <c r="H23" s="119" t="e">
        <f>H22*D23</f>
        <v>#REF!</v>
      </c>
      <c r="I23" s="119" t="e">
        <f>I22*D23</f>
        <v>#REF!</v>
      </c>
      <c r="J23" s="135"/>
      <c r="K23" s="148"/>
      <c r="L23" s="133"/>
      <c r="M23" s="133"/>
    </row>
    <row r="24" spans="1:13" ht="14.25" customHeight="1" hidden="1">
      <c r="A24" s="204">
        <v>6</v>
      </c>
      <c r="B24" s="142" t="s">
        <v>300</v>
      </c>
      <c r="C24" s="115" t="s">
        <v>36</v>
      </c>
      <c r="D24" s="117"/>
      <c r="E24" s="117"/>
      <c r="F24" s="117"/>
      <c r="G24" s="117"/>
      <c r="H24" s="118"/>
      <c r="I24" s="117"/>
      <c r="J24" s="135"/>
      <c r="K24" s="148"/>
      <c r="L24" s="133"/>
      <c r="M24" s="133"/>
    </row>
    <row r="25" spans="1:13" ht="14.25" customHeight="1" hidden="1">
      <c r="A25" s="204"/>
      <c r="B25" s="142" t="s">
        <v>299</v>
      </c>
      <c r="C25" s="115" t="s">
        <v>37</v>
      </c>
      <c r="D25" s="119"/>
      <c r="E25" s="119"/>
      <c r="F25" s="119"/>
      <c r="G25" s="119"/>
      <c r="H25" s="119"/>
      <c r="I25" s="119"/>
      <c r="J25" s="135"/>
      <c r="K25" s="148"/>
      <c r="L25" s="133"/>
      <c r="M25" s="133"/>
    </row>
    <row r="26" spans="1:13" ht="14.25" customHeight="1">
      <c r="A26" s="204">
        <v>6</v>
      </c>
      <c r="B26" s="205" t="e">
        <f>#REF!</f>
        <v>#REF!</v>
      </c>
      <c r="C26" s="115" t="s">
        <v>36</v>
      </c>
      <c r="D26" s="117" t="e">
        <f>D27/D39</f>
        <v>#REF!</v>
      </c>
      <c r="E26" s="117"/>
      <c r="F26" s="117"/>
      <c r="G26" s="117">
        <v>1</v>
      </c>
      <c r="H26" s="118"/>
      <c r="I26" s="117"/>
      <c r="J26" s="135"/>
      <c r="K26" s="148"/>
      <c r="L26" s="133"/>
      <c r="M26" s="133"/>
    </row>
    <row r="27" spans="1:13" ht="14.25" customHeight="1">
      <c r="A27" s="204"/>
      <c r="B27" s="205"/>
      <c r="C27" s="115" t="s">
        <v>37</v>
      </c>
      <c r="D27" s="125" t="e">
        <f>#REF!</f>
        <v>#REF!</v>
      </c>
      <c r="E27" s="125"/>
      <c r="F27" s="125"/>
      <c r="G27" s="125" t="e">
        <f>G26*D27</f>
        <v>#REF!</v>
      </c>
      <c r="H27" s="127"/>
      <c r="I27" s="126"/>
      <c r="J27" s="145"/>
      <c r="K27" s="148"/>
      <c r="L27" s="133"/>
      <c r="M27" s="133"/>
    </row>
    <row r="28" spans="1:13" ht="14.25" customHeight="1">
      <c r="A28" s="204">
        <v>7</v>
      </c>
      <c r="B28" s="205" t="e">
        <f>#REF!</f>
        <v>#REF!</v>
      </c>
      <c r="C28" s="115" t="s">
        <v>36</v>
      </c>
      <c r="D28" s="117" t="e">
        <f>D29/D39</f>
        <v>#REF!</v>
      </c>
      <c r="E28" s="117"/>
      <c r="F28" s="117"/>
      <c r="G28" s="117">
        <v>0.2</v>
      </c>
      <c r="H28" s="117">
        <v>0.8</v>
      </c>
      <c r="I28" s="117"/>
      <c r="J28" s="146"/>
      <c r="K28" s="148"/>
      <c r="L28" s="133"/>
      <c r="M28" s="133"/>
    </row>
    <row r="29" spans="1:13" ht="14.25" customHeight="1">
      <c r="A29" s="204"/>
      <c r="B29" s="205"/>
      <c r="C29" s="115" t="s">
        <v>37</v>
      </c>
      <c r="D29" s="126" t="e">
        <f>#REF!</f>
        <v>#REF!</v>
      </c>
      <c r="E29" s="126"/>
      <c r="F29" s="126"/>
      <c r="G29" s="126" t="e">
        <f>G28*D29</f>
        <v>#REF!</v>
      </c>
      <c r="H29" s="126" t="e">
        <f>H28*D29</f>
        <v>#REF!</v>
      </c>
      <c r="I29" s="126"/>
      <c r="J29" s="135"/>
      <c r="K29" s="148"/>
      <c r="L29" s="133"/>
      <c r="M29" s="133"/>
    </row>
    <row r="30" spans="1:13" ht="14.25" customHeight="1">
      <c r="A30" s="204">
        <v>8</v>
      </c>
      <c r="B30" s="205" t="e">
        <f>#REF!</f>
        <v>#REF!</v>
      </c>
      <c r="C30" s="115" t="s">
        <v>36</v>
      </c>
      <c r="D30" s="117" t="e">
        <f>D31/D39</f>
        <v>#REF!</v>
      </c>
      <c r="E30" s="117">
        <v>0.5</v>
      </c>
      <c r="F30" s="117">
        <v>0.3</v>
      </c>
      <c r="G30" s="117"/>
      <c r="H30" s="118">
        <v>0.2</v>
      </c>
      <c r="I30" s="117"/>
      <c r="J30" s="145"/>
      <c r="K30" s="148"/>
      <c r="L30" s="133"/>
      <c r="M30" s="133"/>
    </row>
    <row r="31" spans="1:13" ht="14.25" customHeight="1">
      <c r="A31" s="204"/>
      <c r="B31" s="205"/>
      <c r="C31" s="115" t="s">
        <v>37</v>
      </c>
      <c r="D31" s="119" t="e">
        <f>#REF!</f>
        <v>#REF!</v>
      </c>
      <c r="E31" s="119" t="e">
        <f>D31*E30</f>
        <v>#REF!</v>
      </c>
      <c r="F31" s="119" t="e">
        <f>D31*F30</f>
        <v>#REF!</v>
      </c>
      <c r="G31" s="119"/>
      <c r="H31" s="119" t="e">
        <f>H30*D31</f>
        <v>#REF!</v>
      </c>
      <c r="I31" s="119"/>
      <c r="J31" s="146"/>
      <c r="K31" s="148"/>
      <c r="L31" s="133"/>
      <c r="M31" s="133"/>
    </row>
    <row r="32" spans="1:13" ht="12.75">
      <c r="A32" s="204">
        <v>9</v>
      </c>
      <c r="B32" s="205" t="e">
        <f>#REF!</f>
        <v>#REF!</v>
      </c>
      <c r="C32" s="115" t="s">
        <v>36</v>
      </c>
      <c r="D32" s="117" t="e">
        <f>D33/D39</f>
        <v>#REF!</v>
      </c>
      <c r="E32" s="117"/>
      <c r="F32" s="117"/>
      <c r="G32" s="117"/>
      <c r="H32" s="118"/>
      <c r="I32" s="117"/>
      <c r="J32" s="145">
        <v>1</v>
      </c>
      <c r="K32" s="148"/>
      <c r="L32" s="133"/>
      <c r="M32" s="133"/>
    </row>
    <row r="33" spans="1:13" ht="12.75">
      <c r="A33" s="204"/>
      <c r="B33" s="205"/>
      <c r="C33" s="115" t="s">
        <v>37</v>
      </c>
      <c r="D33" s="119" t="e">
        <f>#REF!</f>
        <v>#REF!</v>
      </c>
      <c r="E33" s="119"/>
      <c r="F33" s="119"/>
      <c r="G33" s="119"/>
      <c r="H33" s="119"/>
      <c r="I33" s="119"/>
      <c r="J33" s="146" t="e">
        <f>J32*D33</f>
        <v>#REF!</v>
      </c>
      <c r="K33" s="148"/>
      <c r="L33" s="133"/>
      <c r="M33" s="133"/>
    </row>
    <row r="34" spans="1:13" ht="12.75">
      <c r="A34" s="204">
        <v>10</v>
      </c>
      <c r="B34" s="205" t="e">
        <f>#REF!</f>
        <v>#REF!</v>
      </c>
      <c r="C34" s="115" t="s">
        <v>36</v>
      </c>
      <c r="D34" s="117" t="e">
        <f>D35/D39</f>
        <v>#REF!</v>
      </c>
      <c r="E34" s="117"/>
      <c r="F34" s="117"/>
      <c r="G34" s="117"/>
      <c r="H34" s="118"/>
      <c r="I34" s="117">
        <v>1</v>
      </c>
      <c r="J34" s="145"/>
      <c r="K34" s="148"/>
      <c r="L34" s="133"/>
      <c r="M34" s="133"/>
    </row>
    <row r="35" spans="1:13" ht="12.75">
      <c r="A35" s="204"/>
      <c r="B35" s="205"/>
      <c r="C35" s="115" t="s">
        <v>37</v>
      </c>
      <c r="D35" s="119" t="e">
        <f>#REF!</f>
        <v>#REF!</v>
      </c>
      <c r="E35" s="119"/>
      <c r="F35" s="119"/>
      <c r="G35" s="119"/>
      <c r="H35" s="119"/>
      <c r="I35" s="119" t="e">
        <f>I34*D35</f>
        <v>#REF!</v>
      </c>
      <c r="J35" s="146"/>
      <c r="K35" s="148"/>
      <c r="L35" s="133"/>
      <c r="M35" s="133"/>
    </row>
    <row r="36" spans="1:13" ht="12.75">
      <c r="A36" s="204">
        <v>11</v>
      </c>
      <c r="B36" s="205" t="e">
        <f>#REF!</f>
        <v>#REF!</v>
      </c>
      <c r="C36" s="115" t="s">
        <v>36</v>
      </c>
      <c r="D36" s="117" t="e">
        <f>D37/D39</f>
        <v>#REF!</v>
      </c>
      <c r="E36" s="117"/>
      <c r="F36" s="117"/>
      <c r="G36" s="117">
        <v>0.2</v>
      </c>
      <c r="H36" s="118">
        <v>0.4</v>
      </c>
      <c r="I36" s="117">
        <v>0.4</v>
      </c>
      <c r="J36" s="145"/>
      <c r="K36" s="148"/>
      <c r="L36" s="133"/>
      <c r="M36" s="133"/>
    </row>
    <row r="37" spans="1:13" ht="12.75">
      <c r="A37" s="204"/>
      <c r="B37" s="205"/>
      <c r="C37" s="115" t="s">
        <v>37</v>
      </c>
      <c r="D37" s="119" t="e">
        <f>#REF!</f>
        <v>#REF!</v>
      </c>
      <c r="E37" s="119"/>
      <c r="F37" s="119"/>
      <c r="G37" s="119" t="e">
        <f>G36*D37</f>
        <v>#REF!</v>
      </c>
      <c r="H37" s="119" t="e">
        <f>H36*D37</f>
        <v>#REF!</v>
      </c>
      <c r="I37" s="119" t="e">
        <f>I36*D37</f>
        <v>#REF!</v>
      </c>
      <c r="J37" s="146"/>
      <c r="K37" s="148"/>
      <c r="L37" s="133"/>
      <c r="M37" s="133"/>
    </row>
    <row r="38" spans="1:13" ht="14.25" customHeight="1">
      <c r="A38" s="206" t="s">
        <v>38</v>
      </c>
      <c r="B38" s="207"/>
      <c r="C38" s="121" t="s">
        <v>36</v>
      </c>
      <c r="D38" s="116" t="e">
        <f>D36+D34+D32+D30+D28+D26+D22+D20+D18+D16+D6</f>
        <v>#REF!</v>
      </c>
      <c r="E38" s="116" t="e">
        <f>E39/D39</f>
        <v>#REF!</v>
      </c>
      <c r="F38" s="116" t="e">
        <f>F39/D39</f>
        <v>#REF!</v>
      </c>
      <c r="G38" s="116" t="e">
        <f>G39/D39</f>
        <v>#REF!</v>
      </c>
      <c r="H38" s="116" t="e">
        <f>H39/D39</f>
        <v>#REF!</v>
      </c>
      <c r="I38" s="116" t="e">
        <f>I39/D39</f>
        <v>#REF!</v>
      </c>
      <c r="J38" s="136" t="e">
        <f>J39/D39</f>
        <v>#REF!</v>
      </c>
      <c r="K38" s="149"/>
      <c r="L38" s="138"/>
      <c r="M38" s="133"/>
    </row>
    <row r="39" spans="1:13" ht="13.5" customHeight="1" thickBot="1">
      <c r="A39" s="208"/>
      <c r="B39" s="209"/>
      <c r="C39" s="123" t="s">
        <v>37</v>
      </c>
      <c r="D39" s="124" t="e">
        <f>D37+D35+D33+D31+D29+D27+D23+D21+D19+D17+D7</f>
        <v>#REF!</v>
      </c>
      <c r="E39" s="124" t="e">
        <f aca="true" t="shared" si="0" ref="E39:J39">E37+E35+E33+E31+E29+E27+E23+E21+E19+E17+E7</f>
        <v>#REF!</v>
      </c>
      <c r="F39" s="124" t="e">
        <f t="shared" si="0"/>
        <v>#REF!</v>
      </c>
      <c r="G39" s="124" t="e">
        <f t="shared" si="0"/>
        <v>#REF!</v>
      </c>
      <c r="H39" s="124" t="e">
        <f t="shared" si="0"/>
        <v>#REF!</v>
      </c>
      <c r="I39" s="124" t="e">
        <f t="shared" si="0"/>
        <v>#REF!</v>
      </c>
      <c r="J39" s="137" t="e">
        <f t="shared" si="0"/>
        <v>#REF!</v>
      </c>
      <c r="K39" s="150"/>
      <c r="L39" s="133"/>
      <c r="M39" s="133"/>
    </row>
    <row r="40" spans="1:12" ht="11.25" customHeight="1">
      <c r="A40" s="112"/>
      <c r="B40" s="112"/>
      <c r="C40" s="112"/>
      <c r="D40" s="112"/>
      <c r="E40" s="112"/>
      <c r="F40" s="112"/>
      <c r="G40" s="112"/>
      <c r="H40" s="112"/>
      <c r="K40" s="149">
        <f>SUM(E40:J40)</f>
        <v>0</v>
      </c>
      <c r="L40" s="139">
        <f>F40*1.2247</f>
        <v>0</v>
      </c>
    </row>
    <row r="41" spans="1:12" ht="27" customHeight="1">
      <c r="A41" s="112"/>
      <c r="B41" s="112"/>
      <c r="C41" s="112"/>
      <c r="D41" s="112"/>
      <c r="E41" s="112"/>
      <c r="F41" s="112"/>
      <c r="G41" s="112"/>
      <c r="H41" s="112"/>
      <c r="L41" s="139">
        <f>F41*1.2247</f>
        <v>0</v>
      </c>
    </row>
    <row r="42" spans="1:12" ht="11.25" customHeight="1">
      <c r="A42" s="112"/>
      <c r="B42" s="141"/>
      <c r="C42" s="112"/>
      <c r="D42" s="112"/>
      <c r="E42" s="203"/>
      <c r="F42" s="203"/>
      <c r="G42" s="203"/>
      <c r="H42" s="203"/>
      <c r="L42" s="139">
        <f>F42*1.2247</f>
        <v>0</v>
      </c>
    </row>
    <row r="43" spans="1:12" ht="12.75">
      <c r="A43" s="6"/>
      <c r="B43" s="9" t="s">
        <v>295</v>
      </c>
      <c r="C43" s="147"/>
      <c r="D43" s="6"/>
      <c r="E43" s="154" t="s">
        <v>306</v>
      </c>
      <c r="F43" s="154"/>
      <c r="G43" s="154"/>
      <c r="H43" s="154"/>
      <c r="L43" s="139">
        <f>F43*1.2247</f>
        <v>0</v>
      </c>
    </row>
    <row r="44" spans="1:12" ht="12.75">
      <c r="A44" s="111"/>
      <c r="B44" s="140" t="s">
        <v>305</v>
      </c>
      <c r="D44" s="111"/>
      <c r="E44" s="202" t="s">
        <v>307</v>
      </c>
      <c r="F44" s="202"/>
      <c r="G44" s="202"/>
      <c r="H44" s="202"/>
      <c r="L44" s="139">
        <f>F44*1.2247</f>
        <v>0</v>
      </c>
    </row>
    <row r="45" spans="11:13" ht="12.75">
      <c r="K45" s="133"/>
      <c r="L45" s="133"/>
      <c r="M45" s="133"/>
    </row>
  </sheetData>
  <sheetProtection/>
  <mergeCells count="37">
    <mergeCell ref="E44:H44"/>
    <mergeCell ref="A2:J2"/>
    <mergeCell ref="A1:J1"/>
    <mergeCell ref="A3:B4"/>
    <mergeCell ref="A6:A7"/>
    <mergeCell ref="A14:A15"/>
    <mergeCell ref="A10:A11"/>
    <mergeCell ref="I3:J4"/>
    <mergeCell ref="F3:H4"/>
    <mergeCell ref="C3:E4"/>
    <mergeCell ref="B6:B7"/>
    <mergeCell ref="A32:A33"/>
    <mergeCell ref="A18:A19"/>
    <mergeCell ref="A12:A13"/>
    <mergeCell ref="A8:A9"/>
    <mergeCell ref="B32:B33"/>
    <mergeCell ref="B18:B19"/>
    <mergeCell ref="B22:B23"/>
    <mergeCell ref="A20:A21"/>
    <mergeCell ref="A26:A27"/>
    <mergeCell ref="B34:B35"/>
    <mergeCell ref="A38:B39"/>
    <mergeCell ref="E42:H42"/>
    <mergeCell ref="B28:B29"/>
    <mergeCell ref="A28:A29"/>
    <mergeCell ref="B30:B31"/>
    <mergeCell ref="A30:A31"/>
    <mergeCell ref="E43:H43"/>
    <mergeCell ref="A24:A25"/>
    <mergeCell ref="B20:B21"/>
    <mergeCell ref="A16:A17"/>
    <mergeCell ref="A22:A23"/>
    <mergeCell ref="A36:A37"/>
    <mergeCell ref="B36:B37"/>
    <mergeCell ref="B16:B17"/>
    <mergeCell ref="B26:B27"/>
    <mergeCell ref="A34:A35"/>
  </mergeCells>
  <printOptions horizontalCentered="1"/>
  <pageMargins left="0.3937007874015748" right="0.3937007874015748" top="0.5905511811023623" bottom="0.1968503937007874" header="0.1968503937007874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="85" zoomScaleNormal="85" zoomScalePageLayoutView="0" workbookViewId="0" topLeftCell="A70">
      <selection activeCell="C62" sqref="C62:D62"/>
    </sheetView>
  </sheetViews>
  <sheetFormatPr defaultColWidth="9.140625" defaultRowHeight="12.75"/>
  <cols>
    <col min="1" max="1" width="7.8515625" style="0" customWidth="1"/>
    <col min="2" max="2" width="12.7109375" style="0" customWidth="1"/>
    <col min="3" max="3" width="72.28125" style="0" customWidth="1"/>
    <col min="4" max="4" width="7.7109375" style="0" customWidth="1"/>
    <col min="5" max="5" width="9.140625" style="0" hidden="1" customWidth="1"/>
    <col min="7" max="7" width="14.421875" style="0" customWidth="1"/>
    <col min="8" max="8" width="14.421875" style="69" customWidth="1"/>
    <col min="9" max="9" width="14.421875" style="70" customWidth="1"/>
    <col min="10" max="10" width="13.00390625" style="0" customWidth="1"/>
    <col min="11" max="11" width="12.57421875" style="0" customWidth="1"/>
    <col min="12" max="12" width="13.00390625" style="0" customWidth="1"/>
    <col min="13" max="13" width="12.00390625" style="0" bestFit="1" customWidth="1"/>
    <col min="14" max="14" width="13.140625" style="0" bestFit="1" customWidth="1"/>
  </cols>
  <sheetData>
    <row r="1" spans="1:12" ht="12.75">
      <c r="A1" s="199" t="s">
        <v>113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2.75">
      <c r="A2" s="201" t="s">
        <v>114</v>
      </c>
      <c r="B2" s="201"/>
      <c r="C2" s="201"/>
      <c r="D2" s="201"/>
      <c r="E2" s="201"/>
      <c r="F2" s="201"/>
      <c r="G2" s="201" t="s">
        <v>115</v>
      </c>
      <c r="H2" s="201"/>
      <c r="I2" s="201"/>
      <c r="J2" s="201"/>
      <c r="K2" s="201"/>
      <c r="L2" s="201"/>
    </row>
    <row r="3" spans="1:12" ht="12.75">
      <c r="A3" s="200" t="s">
        <v>116</v>
      </c>
      <c r="B3" s="200"/>
      <c r="C3" s="200"/>
      <c r="D3" s="200"/>
      <c r="E3" s="200"/>
      <c r="F3" s="200"/>
      <c r="G3" s="192" t="s">
        <v>117</v>
      </c>
      <c r="H3" s="192"/>
      <c r="I3" s="192"/>
      <c r="J3" s="192"/>
      <c r="K3" s="192"/>
      <c r="L3" s="192"/>
    </row>
    <row r="4" spans="1:12" ht="12.75">
      <c r="A4" s="72" t="s">
        <v>118</v>
      </c>
      <c r="B4" s="72"/>
      <c r="C4" s="72"/>
      <c r="D4" s="192" t="s">
        <v>119</v>
      </c>
      <c r="E4" s="192"/>
      <c r="F4" s="192"/>
      <c r="G4" s="192"/>
      <c r="H4" s="192"/>
      <c r="I4" s="192"/>
      <c r="J4" s="192"/>
      <c r="K4" s="192"/>
      <c r="L4" s="192"/>
    </row>
    <row r="5" spans="1:12" ht="12.75">
      <c r="A5" s="72" t="s">
        <v>120</v>
      </c>
      <c r="B5" s="72"/>
      <c r="C5" s="73"/>
      <c r="D5" s="193" t="s">
        <v>121</v>
      </c>
      <c r="E5" s="193"/>
      <c r="F5" s="193"/>
      <c r="G5" s="193"/>
      <c r="H5" s="193"/>
      <c r="I5" s="193"/>
      <c r="J5" s="193"/>
      <c r="K5" s="199" t="s">
        <v>122</v>
      </c>
      <c r="L5" s="199"/>
    </row>
    <row r="6" spans="1:12" ht="12.75">
      <c r="A6" s="72" t="s">
        <v>123</v>
      </c>
      <c r="B6" s="72"/>
      <c r="C6" s="73"/>
      <c r="D6" s="193"/>
      <c r="E6" s="193"/>
      <c r="F6" s="193"/>
      <c r="G6" s="193"/>
      <c r="H6" s="193"/>
      <c r="I6" s="193"/>
      <c r="J6" s="193"/>
      <c r="K6" s="200" t="s">
        <v>124</v>
      </c>
      <c r="L6" s="200"/>
    </row>
    <row r="7" spans="1:12" ht="45" customHeight="1">
      <c r="A7" s="71" t="s">
        <v>0</v>
      </c>
      <c r="B7" s="71" t="s">
        <v>5</v>
      </c>
      <c r="C7" s="199" t="s">
        <v>125</v>
      </c>
      <c r="D7" s="199"/>
      <c r="E7" s="199"/>
      <c r="F7" s="75" t="s">
        <v>3</v>
      </c>
      <c r="G7" s="71" t="s">
        <v>2</v>
      </c>
      <c r="H7" s="76" t="s">
        <v>293</v>
      </c>
      <c r="I7" s="77" t="s">
        <v>294</v>
      </c>
      <c r="J7" s="78" t="s">
        <v>126</v>
      </c>
      <c r="K7" s="79" t="s">
        <v>127</v>
      </c>
      <c r="L7" s="71" t="s">
        <v>10</v>
      </c>
    </row>
    <row r="8" spans="1:12" s="102" customFormat="1" ht="12.75">
      <c r="A8" s="97">
        <v>1</v>
      </c>
      <c r="B8" s="98"/>
      <c r="C8" s="221" t="s">
        <v>128</v>
      </c>
      <c r="D8" s="221"/>
      <c r="E8" s="221"/>
      <c r="F8" s="98"/>
      <c r="G8" s="99"/>
      <c r="H8" s="99"/>
      <c r="I8" s="99"/>
      <c r="J8" s="99"/>
      <c r="K8" s="99"/>
      <c r="L8" s="101"/>
    </row>
    <row r="9" spans="1:12" ht="12.75">
      <c r="A9" s="71" t="s">
        <v>16</v>
      </c>
      <c r="B9" s="73"/>
      <c r="C9" s="196" t="s">
        <v>129</v>
      </c>
      <c r="D9" s="196"/>
      <c r="E9" s="196"/>
      <c r="F9" s="73"/>
      <c r="G9" s="74"/>
      <c r="H9" s="80"/>
      <c r="I9" s="81"/>
      <c r="J9" s="74"/>
      <c r="K9" s="74"/>
      <c r="L9" s="74"/>
    </row>
    <row r="10" spans="1:12" ht="12.75">
      <c r="A10" s="71" t="s">
        <v>130</v>
      </c>
      <c r="B10" s="73" t="s">
        <v>131</v>
      </c>
      <c r="C10" s="196" t="s">
        <v>132</v>
      </c>
      <c r="D10" s="196"/>
      <c r="E10" s="196"/>
      <c r="F10" s="74" t="s">
        <v>133</v>
      </c>
      <c r="G10" s="74">
        <v>15</v>
      </c>
      <c r="H10" s="80">
        <f>15</f>
        <v>15</v>
      </c>
      <c r="I10" s="81">
        <f>G10-H10</f>
        <v>0</v>
      </c>
      <c r="J10" s="74">
        <v>271.23</v>
      </c>
      <c r="K10" s="83">
        <f>(J10*0.26)+J10</f>
        <v>341.74980000000005</v>
      </c>
      <c r="L10" s="82">
        <f>G10*K10</f>
        <v>5126.247000000001</v>
      </c>
    </row>
    <row r="11" spans="1:12" ht="30.75" customHeight="1">
      <c r="A11" s="71" t="s">
        <v>134</v>
      </c>
      <c r="B11" s="73" t="s">
        <v>135</v>
      </c>
      <c r="C11" s="195" t="s">
        <v>136</v>
      </c>
      <c r="D11" s="195"/>
      <c r="E11" s="195"/>
      <c r="F11" s="74" t="s">
        <v>137</v>
      </c>
      <c r="G11" s="74">
        <v>1</v>
      </c>
      <c r="H11" s="80">
        <f>1</f>
        <v>1</v>
      </c>
      <c r="I11" s="81">
        <f aca="true" t="shared" si="0" ref="I11:I74">G11-H11</f>
        <v>0</v>
      </c>
      <c r="J11" s="74">
        <v>723.45</v>
      </c>
      <c r="K11" s="83">
        <f aca="true" t="shared" si="1" ref="K11:K74">(J11*0.26)+J11</f>
        <v>911.547</v>
      </c>
      <c r="L11" s="82">
        <f aca="true" t="shared" si="2" ref="L11:L74">G11*K11</f>
        <v>911.547</v>
      </c>
    </row>
    <row r="12" spans="1:12" ht="12.75">
      <c r="A12" s="71" t="s">
        <v>138</v>
      </c>
      <c r="B12" s="73" t="s">
        <v>139</v>
      </c>
      <c r="C12" s="196" t="s">
        <v>140</v>
      </c>
      <c r="D12" s="196"/>
      <c r="E12" s="196"/>
      <c r="F12" s="74" t="s">
        <v>137</v>
      </c>
      <c r="G12" s="74">
        <v>1</v>
      </c>
      <c r="H12" s="80">
        <f>1</f>
        <v>1</v>
      </c>
      <c r="I12" s="81">
        <f t="shared" si="0"/>
        <v>0</v>
      </c>
      <c r="J12" s="74">
        <v>867.55</v>
      </c>
      <c r="K12" s="83">
        <f t="shared" si="1"/>
        <v>1093.1129999999998</v>
      </c>
      <c r="L12" s="82">
        <f t="shared" si="2"/>
        <v>1093.1129999999998</v>
      </c>
    </row>
    <row r="13" spans="1:12" ht="12.75">
      <c r="A13" s="71" t="s">
        <v>141</v>
      </c>
      <c r="B13" s="73" t="s">
        <v>142</v>
      </c>
      <c r="C13" s="196" t="s">
        <v>143</v>
      </c>
      <c r="D13" s="196"/>
      <c r="E13" s="196"/>
      <c r="F13" s="74" t="s">
        <v>137</v>
      </c>
      <c r="G13" s="74">
        <v>1</v>
      </c>
      <c r="H13" s="80">
        <f>1</f>
        <v>1</v>
      </c>
      <c r="I13" s="81">
        <f t="shared" si="0"/>
        <v>0</v>
      </c>
      <c r="J13" s="74">
        <v>398.25</v>
      </c>
      <c r="K13" s="83">
        <f t="shared" si="1"/>
        <v>501.795</v>
      </c>
      <c r="L13" s="82">
        <f t="shared" si="2"/>
        <v>501.795</v>
      </c>
    </row>
    <row r="14" spans="1:12" ht="12.75">
      <c r="A14" s="71"/>
      <c r="B14" s="73"/>
      <c r="C14" s="196"/>
      <c r="D14" s="196"/>
      <c r="E14" s="73"/>
      <c r="F14" s="74"/>
      <c r="G14" s="74"/>
      <c r="H14" s="80"/>
      <c r="I14" s="81">
        <f t="shared" si="0"/>
        <v>0</v>
      </c>
      <c r="J14" s="74"/>
      <c r="K14" s="83"/>
      <c r="L14" s="82"/>
    </row>
    <row r="15" spans="1:12" s="49" customFormat="1" ht="12.75">
      <c r="A15" s="87">
        <v>2</v>
      </c>
      <c r="B15" s="88"/>
      <c r="C15" s="198" t="s">
        <v>144</v>
      </c>
      <c r="D15" s="198"/>
      <c r="E15" s="88"/>
      <c r="F15" s="89"/>
      <c r="G15" s="89"/>
      <c r="H15" s="90"/>
      <c r="I15" s="91">
        <f t="shared" si="0"/>
        <v>0</v>
      </c>
      <c r="J15" s="89"/>
      <c r="K15" s="93"/>
      <c r="L15" s="92"/>
    </row>
    <row r="16" spans="1:12" ht="12.75">
      <c r="A16" s="71" t="s">
        <v>19</v>
      </c>
      <c r="B16" s="73"/>
      <c r="C16" s="196" t="s">
        <v>17</v>
      </c>
      <c r="D16" s="196"/>
      <c r="E16" s="73"/>
      <c r="F16" s="74"/>
      <c r="G16" s="74"/>
      <c r="H16" s="80"/>
      <c r="I16" s="81">
        <f t="shared" si="0"/>
        <v>0</v>
      </c>
      <c r="J16" s="74"/>
      <c r="K16" s="83"/>
      <c r="L16" s="82"/>
    </row>
    <row r="17" spans="1:12" ht="30" customHeight="1">
      <c r="A17" s="71" t="s">
        <v>43</v>
      </c>
      <c r="B17" s="73" t="s">
        <v>145</v>
      </c>
      <c r="C17" s="195" t="s">
        <v>146</v>
      </c>
      <c r="D17" s="195"/>
      <c r="E17" s="73"/>
      <c r="F17" s="74" t="s">
        <v>133</v>
      </c>
      <c r="G17" s="84">
        <v>2404.42</v>
      </c>
      <c r="H17" s="85">
        <f>2404.42</f>
        <v>2404.42</v>
      </c>
      <c r="I17" s="81">
        <f t="shared" si="0"/>
        <v>0</v>
      </c>
      <c r="J17" s="74">
        <v>5.61</v>
      </c>
      <c r="K17" s="83">
        <f t="shared" si="1"/>
        <v>7.0686</v>
      </c>
      <c r="L17" s="82">
        <f t="shared" si="2"/>
        <v>16995.883212</v>
      </c>
    </row>
    <row r="18" spans="1:12" ht="12.75">
      <c r="A18" s="71"/>
      <c r="B18" s="73"/>
      <c r="C18" s="196"/>
      <c r="D18" s="196"/>
      <c r="E18" s="73"/>
      <c r="F18" s="74"/>
      <c r="G18" s="74"/>
      <c r="H18" s="80"/>
      <c r="I18" s="81">
        <f t="shared" si="0"/>
        <v>0</v>
      </c>
      <c r="J18" s="74"/>
      <c r="K18" s="83"/>
      <c r="L18" s="82"/>
    </row>
    <row r="19" spans="1:12" s="102" customFormat="1" ht="12.75">
      <c r="A19" s="103">
        <v>3</v>
      </c>
      <c r="B19" s="98"/>
      <c r="C19" s="222" t="s">
        <v>89</v>
      </c>
      <c r="D19" s="222"/>
      <c r="E19" s="98"/>
      <c r="F19" s="99"/>
      <c r="G19" s="99"/>
      <c r="H19" s="99"/>
      <c r="I19" s="99">
        <f t="shared" si="0"/>
        <v>0</v>
      </c>
      <c r="J19" s="99"/>
      <c r="K19" s="100"/>
      <c r="L19" s="101"/>
    </row>
    <row r="20" spans="1:12" ht="12.75">
      <c r="A20" s="71" t="s">
        <v>22</v>
      </c>
      <c r="B20" s="73"/>
      <c r="C20" s="196" t="s">
        <v>147</v>
      </c>
      <c r="D20" s="196"/>
      <c r="E20" s="73"/>
      <c r="F20" s="74"/>
      <c r="G20" s="74"/>
      <c r="H20" s="80"/>
      <c r="I20" s="81">
        <f t="shared" si="0"/>
        <v>0</v>
      </c>
      <c r="J20" s="74"/>
      <c r="K20" s="83"/>
      <c r="L20" s="82"/>
    </row>
    <row r="21" spans="1:12" ht="30.75" customHeight="1">
      <c r="A21" s="71" t="s">
        <v>45</v>
      </c>
      <c r="B21" s="73" t="s">
        <v>148</v>
      </c>
      <c r="C21" s="195" t="s">
        <v>149</v>
      </c>
      <c r="D21" s="195"/>
      <c r="E21" s="73"/>
      <c r="F21" s="74" t="s">
        <v>133</v>
      </c>
      <c r="G21" s="84">
        <v>1326.61</v>
      </c>
      <c r="H21" s="85"/>
      <c r="I21" s="81">
        <f t="shared" si="0"/>
        <v>1326.61</v>
      </c>
      <c r="J21" s="74">
        <v>12.79</v>
      </c>
      <c r="K21" s="83">
        <f t="shared" si="1"/>
        <v>16.115399999999998</v>
      </c>
      <c r="L21" s="82">
        <f t="shared" si="2"/>
        <v>21378.850793999994</v>
      </c>
    </row>
    <row r="22" spans="1:12" ht="30.75" customHeight="1">
      <c r="A22" s="71" t="s">
        <v>46</v>
      </c>
      <c r="B22" s="73" t="s">
        <v>150</v>
      </c>
      <c r="C22" s="195" t="s">
        <v>151</v>
      </c>
      <c r="D22" s="195"/>
      <c r="E22" s="73"/>
      <c r="F22" s="74" t="s">
        <v>137</v>
      </c>
      <c r="G22" s="74">
        <v>72</v>
      </c>
      <c r="H22" s="80"/>
      <c r="I22" s="81">
        <f t="shared" si="0"/>
        <v>72</v>
      </c>
      <c r="J22" s="74">
        <v>5.47</v>
      </c>
      <c r="K22" s="83">
        <f t="shared" si="1"/>
        <v>6.8922</v>
      </c>
      <c r="L22" s="82">
        <f t="shared" si="2"/>
        <v>496.2384</v>
      </c>
    </row>
    <row r="23" spans="1:12" ht="12.75">
      <c r="A23" s="71" t="s">
        <v>47</v>
      </c>
      <c r="B23" s="73" t="s">
        <v>152</v>
      </c>
      <c r="C23" s="196" t="s">
        <v>153</v>
      </c>
      <c r="D23" s="196"/>
      <c r="E23" s="73"/>
      <c r="F23" s="74" t="s">
        <v>137</v>
      </c>
      <c r="G23" s="74">
        <v>32</v>
      </c>
      <c r="H23" s="80"/>
      <c r="I23" s="81">
        <f t="shared" si="0"/>
        <v>32</v>
      </c>
      <c r="J23" s="74">
        <v>14.01</v>
      </c>
      <c r="K23" s="83">
        <f t="shared" si="1"/>
        <v>17.6526</v>
      </c>
      <c r="L23" s="82">
        <f t="shared" si="2"/>
        <v>564.8832</v>
      </c>
    </row>
    <row r="24" spans="1:12" ht="12.75">
      <c r="A24" s="71" t="s">
        <v>154</v>
      </c>
      <c r="B24" s="73" t="s">
        <v>152</v>
      </c>
      <c r="C24" s="196" t="s">
        <v>155</v>
      </c>
      <c r="D24" s="196"/>
      <c r="E24" s="73"/>
      <c r="F24" s="74" t="s">
        <v>137</v>
      </c>
      <c r="G24" s="74">
        <v>27</v>
      </c>
      <c r="H24" s="80"/>
      <c r="I24" s="81">
        <f t="shared" si="0"/>
        <v>27</v>
      </c>
      <c r="J24" s="74">
        <v>17.42</v>
      </c>
      <c r="K24" s="83">
        <f t="shared" si="1"/>
        <v>21.9492</v>
      </c>
      <c r="L24" s="82">
        <f t="shared" si="2"/>
        <v>592.6284</v>
      </c>
    </row>
    <row r="25" spans="1:12" ht="12.75">
      <c r="A25" s="71" t="s">
        <v>156</v>
      </c>
      <c r="B25" s="73" t="s">
        <v>157</v>
      </c>
      <c r="C25" s="196" t="s">
        <v>158</v>
      </c>
      <c r="D25" s="196"/>
      <c r="E25" s="73"/>
      <c r="F25" s="74" t="s">
        <v>137</v>
      </c>
      <c r="G25" s="74">
        <v>13</v>
      </c>
      <c r="H25" s="80"/>
      <c r="I25" s="81">
        <f t="shared" si="0"/>
        <v>13</v>
      </c>
      <c r="J25" s="74">
        <v>53.79</v>
      </c>
      <c r="K25" s="83">
        <f t="shared" si="1"/>
        <v>67.7754</v>
      </c>
      <c r="L25" s="82">
        <f t="shared" si="2"/>
        <v>881.0802000000001</v>
      </c>
    </row>
    <row r="26" spans="1:15" ht="12.75">
      <c r="A26" s="71" t="s">
        <v>159</v>
      </c>
      <c r="B26" s="73" t="s">
        <v>160</v>
      </c>
      <c r="C26" s="196" t="s">
        <v>161</v>
      </c>
      <c r="D26" s="196"/>
      <c r="E26" s="73"/>
      <c r="F26" s="74" t="s">
        <v>23</v>
      </c>
      <c r="G26" s="74">
        <v>538.56</v>
      </c>
      <c r="H26" s="80">
        <f>60+478.56</f>
        <v>538.56</v>
      </c>
      <c r="I26" s="81">
        <f t="shared" si="0"/>
        <v>0</v>
      </c>
      <c r="J26" s="74">
        <v>13.95</v>
      </c>
      <c r="K26" s="83">
        <f t="shared" si="1"/>
        <v>17.576999999999998</v>
      </c>
      <c r="L26" s="82">
        <f t="shared" si="2"/>
        <v>9466.269119999997</v>
      </c>
      <c r="M26" s="96">
        <f>H26*K26</f>
        <v>9466.269119999997</v>
      </c>
      <c r="N26" s="54">
        <f>SUM(L21:L26)</f>
        <v>33379.95011399999</v>
      </c>
      <c r="O26" s="95">
        <f>M26/N26</f>
        <v>0.28359146995937895</v>
      </c>
    </row>
    <row r="27" spans="1:12" ht="12.75">
      <c r="A27" s="71"/>
      <c r="B27" s="73"/>
      <c r="C27" s="196"/>
      <c r="D27" s="196"/>
      <c r="E27" s="73"/>
      <c r="F27" s="74"/>
      <c r="G27" s="74"/>
      <c r="H27" s="80"/>
      <c r="I27" s="81">
        <f t="shared" si="0"/>
        <v>0</v>
      </c>
      <c r="J27" s="74"/>
      <c r="K27" s="83"/>
      <c r="L27" s="82"/>
    </row>
    <row r="28" spans="1:12" s="102" customFormat="1" ht="12.75">
      <c r="A28" s="97">
        <v>4</v>
      </c>
      <c r="B28" s="98"/>
      <c r="C28" s="222" t="s">
        <v>162</v>
      </c>
      <c r="D28" s="222"/>
      <c r="E28" s="98"/>
      <c r="F28" s="99"/>
      <c r="G28" s="99"/>
      <c r="H28" s="99"/>
      <c r="I28" s="99">
        <f t="shared" si="0"/>
        <v>0</v>
      </c>
      <c r="J28" s="99"/>
      <c r="K28" s="100"/>
      <c r="L28" s="101"/>
    </row>
    <row r="29" spans="1:12" ht="12.75">
      <c r="A29" s="71" t="s">
        <v>92</v>
      </c>
      <c r="B29" s="73"/>
      <c r="C29" s="196" t="s">
        <v>163</v>
      </c>
      <c r="D29" s="196"/>
      <c r="E29" s="73"/>
      <c r="F29" s="74"/>
      <c r="G29" s="74"/>
      <c r="H29" s="80"/>
      <c r="I29" s="81">
        <f t="shared" si="0"/>
        <v>0</v>
      </c>
      <c r="J29" s="74"/>
      <c r="K29" s="83"/>
      <c r="L29" s="82"/>
    </row>
    <row r="30" spans="1:13" ht="29.25" customHeight="1">
      <c r="A30" s="71" t="s">
        <v>48</v>
      </c>
      <c r="B30" s="73" t="s">
        <v>164</v>
      </c>
      <c r="C30" s="195" t="s">
        <v>165</v>
      </c>
      <c r="D30" s="195"/>
      <c r="E30" s="73"/>
      <c r="F30" s="74" t="s">
        <v>137</v>
      </c>
      <c r="G30" s="74">
        <v>1</v>
      </c>
      <c r="H30" s="80">
        <f>1</f>
        <v>1</v>
      </c>
      <c r="I30" s="81">
        <f t="shared" si="0"/>
        <v>0</v>
      </c>
      <c r="J30" s="74">
        <v>19.32</v>
      </c>
      <c r="K30" s="83">
        <f t="shared" si="1"/>
        <v>24.3432</v>
      </c>
      <c r="L30" s="82">
        <f t="shared" si="2"/>
        <v>24.3432</v>
      </c>
      <c r="M30" s="96">
        <f>H30*K30</f>
        <v>24.3432</v>
      </c>
    </row>
    <row r="31" spans="1:13" ht="15" customHeight="1">
      <c r="A31" s="71" t="s">
        <v>49</v>
      </c>
      <c r="B31" s="73" t="s">
        <v>166</v>
      </c>
      <c r="C31" s="195" t="s">
        <v>167</v>
      </c>
      <c r="D31" s="195"/>
      <c r="E31" s="73"/>
      <c r="F31" s="74" t="s">
        <v>137</v>
      </c>
      <c r="G31" s="74">
        <v>1</v>
      </c>
      <c r="H31" s="80">
        <f>1</f>
        <v>1</v>
      </c>
      <c r="I31" s="81">
        <f t="shared" si="0"/>
        <v>0</v>
      </c>
      <c r="J31" s="74">
        <v>8121.89</v>
      </c>
      <c r="K31" s="83">
        <f t="shared" si="1"/>
        <v>10233.581400000001</v>
      </c>
      <c r="L31" s="82">
        <f t="shared" si="2"/>
        <v>10233.581400000001</v>
      </c>
      <c r="M31" s="96">
        <f aca="true" t="shared" si="3" ref="M31:M40">H31*K31</f>
        <v>10233.581400000001</v>
      </c>
    </row>
    <row r="32" spans="1:13" ht="12.75">
      <c r="A32" s="71" t="s">
        <v>50</v>
      </c>
      <c r="B32" s="73" t="s">
        <v>168</v>
      </c>
      <c r="C32" s="192" t="s">
        <v>169</v>
      </c>
      <c r="D32" s="192"/>
      <c r="E32" s="73"/>
      <c r="F32" s="74" t="s">
        <v>137</v>
      </c>
      <c r="G32" s="74">
        <v>4</v>
      </c>
      <c r="H32" s="80">
        <f>4</f>
        <v>4</v>
      </c>
      <c r="I32" s="81">
        <f t="shared" si="0"/>
        <v>0</v>
      </c>
      <c r="J32" s="74">
        <v>17.65</v>
      </c>
      <c r="K32" s="83">
        <f t="shared" si="1"/>
        <v>22.238999999999997</v>
      </c>
      <c r="L32" s="82">
        <f t="shared" si="2"/>
        <v>88.95599999999999</v>
      </c>
      <c r="M32" s="96">
        <f t="shared" si="3"/>
        <v>88.95599999999999</v>
      </c>
    </row>
    <row r="33" spans="1:13" ht="12.75">
      <c r="A33" s="71" t="s">
        <v>170</v>
      </c>
      <c r="B33" s="73" t="s">
        <v>171</v>
      </c>
      <c r="C33" s="192" t="s">
        <v>172</v>
      </c>
      <c r="D33" s="192"/>
      <c r="E33" s="73"/>
      <c r="F33" s="74" t="s">
        <v>137</v>
      </c>
      <c r="G33" s="74">
        <v>2</v>
      </c>
      <c r="H33" s="80">
        <f>2</f>
        <v>2</v>
      </c>
      <c r="I33" s="81">
        <f t="shared" si="0"/>
        <v>0</v>
      </c>
      <c r="J33" s="74">
        <v>46.43</v>
      </c>
      <c r="K33" s="83">
        <f t="shared" si="1"/>
        <v>58.5018</v>
      </c>
      <c r="L33" s="82">
        <f t="shared" si="2"/>
        <v>117.0036</v>
      </c>
      <c r="M33" s="96">
        <f t="shared" si="3"/>
        <v>117.0036</v>
      </c>
    </row>
    <row r="34" spans="1:13" ht="12.75">
      <c r="A34" s="71" t="s">
        <v>173</v>
      </c>
      <c r="B34" s="73" t="s">
        <v>174</v>
      </c>
      <c r="C34" s="192" t="s">
        <v>175</v>
      </c>
      <c r="D34" s="192"/>
      <c r="E34" s="73"/>
      <c r="F34" s="74" t="s">
        <v>176</v>
      </c>
      <c r="G34" s="74">
        <v>2</v>
      </c>
      <c r="H34" s="80">
        <f>2</f>
        <v>2</v>
      </c>
      <c r="I34" s="81">
        <f t="shared" si="0"/>
        <v>0</v>
      </c>
      <c r="J34" s="74">
        <v>50.73</v>
      </c>
      <c r="K34" s="83">
        <f t="shared" si="1"/>
        <v>63.919799999999995</v>
      </c>
      <c r="L34" s="82">
        <f t="shared" si="2"/>
        <v>127.83959999999999</v>
      </c>
      <c r="M34" s="96">
        <f t="shared" si="3"/>
        <v>127.83959999999999</v>
      </c>
    </row>
    <row r="35" spans="1:13" ht="12.75">
      <c r="A35" s="71" t="s">
        <v>177</v>
      </c>
      <c r="B35" s="73" t="s">
        <v>178</v>
      </c>
      <c r="C35" s="192" t="s">
        <v>179</v>
      </c>
      <c r="D35" s="192"/>
      <c r="E35" s="73"/>
      <c r="F35" s="74" t="s">
        <v>23</v>
      </c>
      <c r="G35" s="74">
        <v>42</v>
      </c>
      <c r="H35" s="80">
        <f>42</f>
        <v>42</v>
      </c>
      <c r="I35" s="81">
        <f t="shared" si="0"/>
        <v>0</v>
      </c>
      <c r="J35" s="74">
        <v>14.15</v>
      </c>
      <c r="K35" s="83">
        <f t="shared" si="1"/>
        <v>17.829</v>
      </c>
      <c r="L35" s="82">
        <f t="shared" si="2"/>
        <v>748.818</v>
      </c>
      <c r="M35" s="96">
        <f t="shared" si="3"/>
        <v>748.818</v>
      </c>
    </row>
    <row r="36" spans="1:13" ht="12.75">
      <c r="A36" s="71" t="s">
        <v>180</v>
      </c>
      <c r="B36" s="73" t="s">
        <v>181</v>
      </c>
      <c r="C36" s="192" t="s">
        <v>182</v>
      </c>
      <c r="D36" s="192"/>
      <c r="E36" s="73"/>
      <c r="F36" s="74" t="s">
        <v>23</v>
      </c>
      <c r="G36" s="74">
        <v>20</v>
      </c>
      <c r="H36" s="80">
        <f>20</f>
        <v>20</v>
      </c>
      <c r="I36" s="81">
        <f t="shared" si="0"/>
        <v>0</v>
      </c>
      <c r="J36" s="74">
        <v>10.22</v>
      </c>
      <c r="K36" s="83">
        <f t="shared" si="1"/>
        <v>12.877200000000002</v>
      </c>
      <c r="L36" s="82">
        <f t="shared" si="2"/>
        <v>257.54400000000004</v>
      </c>
      <c r="M36" s="96">
        <f t="shared" si="3"/>
        <v>257.54400000000004</v>
      </c>
    </row>
    <row r="37" spans="1:13" ht="12.75">
      <c r="A37" s="71" t="s">
        <v>183</v>
      </c>
      <c r="B37" s="73" t="s">
        <v>184</v>
      </c>
      <c r="C37" s="192" t="s">
        <v>185</v>
      </c>
      <c r="D37" s="192"/>
      <c r="E37" s="73"/>
      <c r="F37" s="74" t="s">
        <v>23</v>
      </c>
      <c r="G37" s="74">
        <v>24</v>
      </c>
      <c r="H37" s="80">
        <f>24</f>
        <v>24</v>
      </c>
      <c r="I37" s="81">
        <f t="shared" si="0"/>
        <v>0</v>
      </c>
      <c r="J37" s="74">
        <v>17.81</v>
      </c>
      <c r="K37" s="83">
        <f t="shared" si="1"/>
        <v>22.440599999999996</v>
      </c>
      <c r="L37" s="82">
        <f t="shared" si="2"/>
        <v>538.5744</v>
      </c>
      <c r="M37" s="96">
        <f t="shared" si="3"/>
        <v>538.5744</v>
      </c>
    </row>
    <row r="38" spans="1:13" ht="12.75">
      <c r="A38" s="71" t="s">
        <v>186</v>
      </c>
      <c r="B38" s="73" t="s">
        <v>187</v>
      </c>
      <c r="C38" s="192" t="s">
        <v>188</v>
      </c>
      <c r="D38" s="192"/>
      <c r="E38" s="73"/>
      <c r="F38" s="74" t="s">
        <v>23</v>
      </c>
      <c r="G38" s="74">
        <v>178.39</v>
      </c>
      <c r="H38" s="80">
        <f>178.39</f>
        <v>178.39</v>
      </c>
      <c r="I38" s="81">
        <f t="shared" si="0"/>
        <v>0</v>
      </c>
      <c r="J38" s="74">
        <v>20.42</v>
      </c>
      <c r="K38" s="83">
        <f t="shared" si="1"/>
        <v>25.729200000000002</v>
      </c>
      <c r="L38" s="82">
        <f t="shared" si="2"/>
        <v>4589.831988</v>
      </c>
      <c r="M38" s="96">
        <f t="shared" si="3"/>
        <v>4589.831988</v>
      </c>
    </row>
    <row r="39" spans="1:13" ht="12.75">
      <c r="A39" s="71" t="s">
        <v>189</v>
      </c>
      <c r="B39" s="110" t="s">
        <v>190</v>
      </c>
      <c r="C39" s="223" t="s">
        <v>191</v>
      </c>
      <c r="D39" s="192"/>
      <c r="E39" s="73"/>
      <c r="F39" s="74" t="s">
        <v>137</v>
      </c>
      <c r="G39" s="74">
        <v>1</v>
      </c>
      <c r="H39" s="80"/>
      <c r="I39" s="81">
        <f t="shared" si="0"/>
        <v>1</v>
      </c>
      <c r="J39" s="74">
        <v>884.76</v>
      </c>
      <c r="K39" s="83">
        <f t="shared" si="1"/>
        <v>1114.7975999999999</v>
      </c>
      <c r="L39" s="82">
        <f t="shared" si="2"/>
        <v>1114.7975999999999</v>
      </c>
      <c r="M39" s="96">
        <f t="shared" si="3"/>
        <v>0</v>
      </c>
    </row>
    <row r="40" spans="1:13" ht="12.75">
      <c r="A40" s="71" t="s">
        <v>192</v>
      </c>
      <c r="B40" s="73" t="s">
        <v>193</v>
      </c>
      <c r="C40" s="192" t="s">
        <v>194</v>
      </c>
      <c r="D40" s="192"/>
      <c r="E40" s="73"/>
      <c r="F40" s="74" t="s">
        <v>137</v>
      </c>
      <c r="G40" s="74">
        <v>16</v>
      </c>
      <c r="H40" s="80">
        <f>16</f>
        <v>16</v>
      </c>
      <c r="I40" s="81">
        <f t="shared" si="0"/>
        <v>0</v>
      </c>
      <c r="J40" s="74">
        <v>30.59</v>
      </c>
      <c r="K40" s="83">
        <f t="shared" si="1"/>
        <v>38.5434</v>
      </c>
      <c r="L40" s="82">
        <f t="shared" si="2"/>
        <v>616.6944</v>
      </c>
      <c r="M40" s="96">
        <f t="shared" si="3"/>
        <v>616.6944</v>
      </c>
    </row>
    <row r="41" spans="1:16" ht="12.75">
      <c r="A41" s="73"/>
      <c r="B41" s="73"/>
      <c r="C41" s="192"/>
      <c r="D41" s="192"/>
      <c r="E41" s="73"/>
      <c r="F41" s="73"/>
      <c r="G41" s="74"/>
      <c r="H41" s="80"/>
      <c r="I41" s="81">
        <f t="shared" si="0"/>
        <v>0</v>
      </c>
      <c r="J41" s="74"/>
      <c r="K41" s="83"/>
      <c r="L41" s="82"/>
      <c r="M41" s="96">
        <f>SUM(M30:M40)</f>
        <v>17343.186587999997</v>
      </c>
      <c r="N41" s="96">
        <f>SUM(L30:L40)</f>
        <v>18457.984187999995</v>
      </c>
      <c r="O41" s="95">
        <f>M41/N41</f>
        <v>0.9396035022760093</v>
      </c>
      <c r="P41" s="95">
        <f>O41/2</f>
        <v>0.46980175113800465</v>
      </c>
    </row>
    <row r="42" spans="1:15" s="102" customFormat="1" ht="12.75">
      <c r="A42" s="99">
        <v>5</v>
      </c>
      <c r="B42" s="98"/>
      <c r="C42" s="221" t="s">
        <v>195</v>
      </c>
      <c r="D42" s="221"/>
      <c r="E42" s="98"/>
      <c r="F42" s="98"/>
      <c r="G42" s="99"/>
      <c r="H42" s="99"/>
      <c r="I42" s="99">
        <f t="shared" si="0"/>
        <v>0</v>
      </c>
      <c r="J42" s="99"/>
      <c r="K42" s="100"/>
      <c r="L42" s="101"/>
      <c r="O42" s="109">
        <f>O41-0.4</f>
        <v>0.5396035022760093</v>
      </c>
    </row>
    <row r="43" spans="1:16" ht="12.75">
      <c r="A43" s="71" t="s">
        <v>196</v>
      </c>
      <c r="B43" s="73"/>
      <c r="C43" s="192" t="s">
        <v>197</v>
      </c>
      <c r="D43" s="192"/>
      <c r="E43" s="73"/>
      <c r="F43" s="73"/>
      <c r="G43" s="74"/>
      <c r="H43" s="80"/>
      <c r="I43" s="81">
        <f t="shared" si="0"/>
        <v>0</v>
      </c>
      <c r="J43" s="74"/>
      <c r="K43" s="83"/>
      <c r="L43" s="82"/>
      <c r="P43">
        <f>46.98*2</f>
        <v>93.96</v>
      </c>
    </row>
    <row r="44" spans="1:13" ht="12.75">
      <c r="A44" s="71" t="s">
        <v>198</v>
      </c>
      <c r="B44" s="73" t="s">
        <v>95</v>
      </c>
      <c r="C44" s="192" t="s">
        <v>199</v>
      </c>
      <c r="D44" s="192"/>
      <c r="E44" s="73"/>
      <c r="F44" s="74" t="s">
        <v>23</v>
      </c>
      <c r="G44" s="74">
        <v>240</v>
      </c>
      <c r="H44" s="80">
        <f>240</f>
        <v>240</v>
      </c>
      <c r="I44" s="81">
        <f t="shared" si="0"/>
        <v>0</v>
      </c>
      <c r="J44" s="74">
        <v>10.58</v>
      </c>
      <c r="K44" s="83">
        <f t="shared" si="1"/>
        <v>13.3308</v>
      </c>
      <c r="L44" s="82">
        <f t="shared" si="2"/>
        <v>3199.392</v>
      </c>
      <c r="M44" s="96">
        <f>H44*K44</f>
        <v>3199.392</v>
      </c>
    </row>
    <row r="45" spans="1:13" ht="12.75">
      <c r="A45" s="71" t="s">
        <v>200</v>
      </c>
      <c r="B45" s="73" t="s">
        <v>201</v>
      </c>
      <c r="C45" s="192" t="s">
        <v>202</v>
      </c>
      <c r="D45" s="192"/>
      <c r="E45" s="73"/>
      <c r="F45" s="74" t="s">
        <v>23</v>
      </c>
      <c r="G45" s="74">
        <v>120</v>
      </c>
      <c r="H45" s="80">
        <f>120</f>
        <v>120</v>
      </c>
      <c r="I45" s="81">
        <f t="shared" si="0"/>
        <v>0</v>
      </c>
      <c r="J45" s="74">
        <v>11.03</v>
      </c>
      <c r="K45" s="83">
        <f t="shared" si="1"/>
        <v>13.8978</v>
      </c>
      <c r="L45" s="82">
        <f t="shared" si="2"/>
        <v>1667.736</v>
      </c>
      <c r="M45" s="96">
        <f aca="true" t="shared" si="4" ref="M45:M63">H45*K45</f>
        <v>1667.736</v>
      </c>
    </row>
    <row r="46" spans="1:13" ht="12.75">
      <c r="A46" s="71" t="s">
        <v>203</v>
      </c>
      <c r="B46" s="73" t="s">
        <v>109</v>
      </c>
      <c r="C46" s="192" t="s">
        <v>204</v>
      </c>
      <c r="D46" s="192"/>
      <c r="E46" s="73"/>
      <c r="F46" s="74" t="s">
        <v>137</v>
      </c>
      <c r="G46" s="74">
        <v>1</v>
      </c>
      <c r="H46" s="80">
        <f>G46</f>
        <v>1</v>
      </c>
      <c r="I46" s="81">
        <f t="shared" si="0"/>
        <v>0</v>
      </c>
      <c r="J46" s="74">
        <v>1546.05</v>
      </c>
      <c r="K46" s="83">
        <f t="shared" si="1"/>
        <v>1948.023</v>
      </c>
      <c r="L46" s="82">
        <f t="shared" si="2"/>
        <v>1948.023</v>
      </c>
      <c r="M46" s="96">
        <f t="shared" si="4"/>
        <v>1948.023</v>
      </c>
    </row>
    <row r="47" spans="1:13" ht="12.75">
      <c r="A47" s="71" t="s">
        <v>205</v>
      </c>
      <c r="B47" s="73" t="s">
        <v>206</v>
      </c>
      <c r="C47" s="192" t="s">
        <v>207</v>
      </c>
      <c r="D47" s="192"/>
      <c r="E47" s="73"/>
      <c r="F47" s="74" t="s">
        <v>137</v>
      </c>
      <c r="G47" s="74">
        <v>1</v>
      </c>
      <c r="H47" s="80">
        <f aca="true" t="shared" si="5" ref="H47:H62">G47</f>
        <v>1</v>
      </c>
      <c r="I47" s="81">
        <f t="shared" si="0"/>
        <v>0</v>
      </c>
      <c r="J47" s="74">
        <v>161.35</v>
      </c>
      <c r="K47" s="83">
        <f t="shared" si="1"/>
        <v>203.301</v>
      </c>
      <c r="L47" s="82">
        <f t="shared" si="2"/>
        <v>203.301</v>
      </c>
      <c r="M47" s="96">
        <f t="shared" si="4"/>
        <v>203.301</v>
      </c>
    </row>
    <row r="48" spans="1:13" ht="29.25" customHeight="1">
      <c r="A48" s="71" t="s">
        <v>208</v>
      </c>
      <c r="B48" s="73" t="s">
        <v>209</v>
      </c>
      <c r="C48" s="195" t="s">
        <v>210</v>
      </c>
      <c r="D48" s="195"/>
      <c r="E48" s="73"/>
      <c r="F48" s="74" t="s">
        <v>23</v>
      </c>
      <c r="G48" s="74">
        <v>260</v>
      </c>
      <c r="H48" s="80">
        <f t="shared" si="5"/>
        <v>260</v>
      </c>
      <c r="I48" s="81">
        <f t="shared" si="0"/>
        <v>0</v>
      </c>
      <c r="J48" s="74">
        <v>8.86</v>
      </c>
      <c r="K48" s="83">
        <f t="shared" si="1"/>
        <v>11.163599999999999</v>
      </c>
      <c r="L48" s="82">
        <f t="shared" si="2"/>
        <v>2902.5359999999996</v>
      </c>
      <c r="M48" s="96">
        <f t="shared" si="4"/>
        <v>2902.5359999999996</v>
      </c>
    </row>
    <row r="49" spans="1:13" ht="29.25" customHeight="1">
      <c r="A49" s="71" t="s">
        <v>211</v>
      </c>
      <c r="B49" s="73" t="s">
        <v>212</v>
      </c>
      <c r="C49" s="195" t="s">
        <v>213</v>
      </c>
      <c r="D49" s="195"/>
      <c r="E49" s="73"/>
      <c r="F49" s="74" t="s">
        <v>23</v>
      </c>
      <c r="G49" s="74">
        <v>10</v>
      </c>
      <c r="H49" s="80">
        <f t="shared" si="5"/>
        <v>10</v>
      </c>
      <c r="I49" s="81">
        <f t="shared" si="0"/>
        <v>0</v>
      </c>
      <c r="J49" s="74">
        <v>6.31</v>
      </c>
      <c r="K49" s="83">
        <f t="shared" si="1"/>
        <v>7.9506</v>
      </c>
      <c r="L49" s="82">
        <f t="shared" si="2"/>
        <v>79.506</v>
      </c>
      <c r="M49" s="96">
        <f t="shared" si="4"/>
        <v>79.506</v>
      </c>
    </row>
    <row r="50" spans="1:13" ht="12.75">
      <c r="A50" s="71" t="s">
        <v>214</v>
      </c>
      <c r="B50" s="73" t="s">
        <v>215</v>
      </c>
      <c r="C50" s="192" t="s">
        <v>216</v>
      </c>
      <c r="D50" s="192"/>
      <c r="E50" s="73"/>
      <c r="F50" s="74" t="s">
        <v>23</v>
      </c>
      <c r="G50" s="84">
        <v>1100</v>
      </c>
      <c r="H50" s="80">
        <f t="shared" si="5"/>
        <v>1100</v>
      </c>
      <c r="I50" s="81">
        <f t="shared" si="0"/>
        <v>0</v>
      </c>
      <c r="J50" s="74">
        <v>3.5</v>
      </c>
      <c r="K50" s="83">
        <f t="shared" si="1"/>
        <v>4.41</v>
      </c>
      <c r="L50" s="82">
        <f t="shared" si="2"/>
        <v>4851</v>
      </c>
      <c r="M50" s="96">
        <f t="shared" si="4"/>
        <v>4851</v>
      </c>
    </row>
    <row r="51" spans="1:13" ht="12.75">
      <c r="A51" s="71" t="s">
        <v>217</v>
      </c>
      <c r="B51" s="73" t="s">
        <v>218</v>
      </c>
      <c r="C51" s="192" t="s">
        <v>219</v>
      </c>
      <c r="D51" s="192"/>
      <c r="E51" s="73"/>
      <c r="F51" s="74" t="s">
        <v>23</v>
      </c>
      <c r="G51" s="74">
        <v>550</v>
      </c>
      <c r="H51" s="80">
        <f t="shared" si="5"/>
        <v>550</v>
      </c>
      <c r="I51" s="81">
        <f t="shared" si="0"/>
        <v>0</v>
      </c>
      <c r="J51" s="74">
        <v>3.5</v>
      </c>
      <c r="K51" s="83">
        <f t="shared" si="1"/>
        <v>4.41</v>
      </c>
      <c r="L51" s="82">
        <f t="shared" si="2"/>
        <v>2425.5</v>
      </c>
      <c r="M51" s="96">
        <f t="shared" si="4"/>
        <v>2425.5</v>
      </c>
    </row>
    <row r="52" spans="1:13" ht="12.75">
      <c r="A52" s="71" t="s">
        <v>220</v>
      </c>
      <c r="B52" s="73" t="s">
        <v>221</v>
      </c>
      <c r="C52" s="192" t="s">
        <v>222</v>
      </c>
      <c r="D52" s="192"/>
      <c r="E52" s="73"/>
      <c r="F52" s="74" t="s">
        <v>23</v>
      </c>
      <c r="G52" s="74">
        <v>550</v>
      </c>
      <c r="H52" s="80">
        <f t="shared" si="5"/>
        <v>550</v>
      </c>
      <c r="I52" s="81">
        <f t="shared" si="0"/>
        <v>0</v>
      </c>
      <c r="J52" s="74">
        <v>3</v>
      </c>
      <c r="K52" s="83">
        <f t="shared" si="1"/>
        <v>3.7800000000000002</v>
      </c>
      <c r="L52" s="82">
        <f t="shared" si="2"/>
        <v>2079</v>
      </c>
      <c r="M52" s="96">
        <f t="shared" si="4"/>
        <v>2079</v>
      </c>
    </row>
    <row r="53" spans="1:13" ht="12.75">
      <c r="A53" s="71" t="s">
        <v>223</v>
      </c>
      <c r="B53" s="73" t="s">
        <v>224</v>
      </c>
      <c r="C53" s="192" t="s">
        <v>225</v>
      </c>
      <c r="D53" s="192"/>
      <c r="E53" s="73"/>
      <c r="F53" s="74" t="s">
        <v>23</v>
      </c>
      <c r="G53" s="74">
        <v>300</v>
      </c>
      <c r="H53" s="80">
        <f t="shared" si="5"/>
        <v>300</v>
      </c>
      <c r="I53" s="81">
        <f t="shared" si="0"/>
        <v>0</v>
      </c>
      <c r="J53" s="74">
        <v>3.5</v>
      </c>
      <c r="K53" s="83">
        <f t="shared" si="1"/>
        <v>4.41</v>
      </c>
      <c r="L53" s="82">
        <f t="shared" si="2"/>
        <v>1323</v>
      </c>
      <c r="M53" s="96">
        <f t="shared" si="4"/>
        <v>1323</v>
      </c>
    </row>
    <row r="54" spans="1:13" ht="12.75">
      <c r="A54" s="71" t="s">
        <v>226</v>
      </c>
      <c r="B54" s="73" t="s">
        <v>227</v>
      </c>
      <c r="C54" s="192" t="s">
        <v>228</v>
      </c>
      <c r="D54" s="192"/>
      <c r="E54" s="73"/>
      <c r="F54" s="74" t="s">
        <v>137</v>
      </c>
      <c r="G54" s="74">
        <v>2</v>
      </c>
      <c r="H54" s="80">
        <f t="shared" si="5"/>
        <v>2</v>
      </c>
      <c r="I54" s="81">
        <f t="shared" si="0"/>
        <v>0</v>
      </c>
      <c r="J54" s="74">
        <v>60</v>
      </c>
      <c r="K54" s="83">
        <f t="shared" si="1"/>
        <v>75.6</v>
      </c>
      <c r="L54" s="82">
        <f t="shared" si="2"/>
        <v>151.2</v>
      </c>
      <c r="M54" s="96">
        <f t="shared" si="4"/>
        <v>151.2</v>
      </c>
    </row>
    <row r="55" spans="1:13" ht="12.75">
      <c r="A55" s="71" t="s">
        <v>229</v>
      </c>
      <c r="B55" s="73" t="s">
        <v>230</v>
      </c>
      <c r="C55" s="192" t="s">
        <v>231</v>
      </c>
      <c r="D55" s="192"/>
      <c r="E55" s="73"/>
      <c r="F55" s="74" t="s">
        <v>137</v>
      </c>
      <c r="G55" s="74">
        <v>6</v>
      </c>
      <c r="H55" s="80">
        <f t="shared" si="5"/>
        <v>6</v>
      </c>
      <c r="I55" s="81">
        <f t="shared" si="0"/>
        <v>0</v>
      </c>
      <c r="J55" s="74">
        <v>29.8</v>
      </c>
      <c r="K55" s="83">
        <f t="shared" si="1"/>
        <v>37.548</v>
      </c>
      <c r="L55" s="82">
        <f t="shared" si="2"/>
        <v>225.288</v>
      </c>
      <c r="M55" s="96">
        <f t="shared" si="4"/>
        <v>225.288</v>
      </c>
    </row>
    <row r="56" spans="1:13" ht="12.75">
      <c r="A56" s="71" t="s">
        <v>232</v>
      </c>
      <c r="B56" s="73" t="s">
        <v>233</v>
      </c>
      <c r="C56" s="192" t="s">
        <v>234</v>
      </c>
      <c r="D56" s="192"/>
      <c r="E56" s="73"/>
      <c r="F56" s="74" t="s">
        <v>137</v>
      </c>
      <c r="G56" s="74">
        <v>1</v>
      </c>
      <c r="H56" s="80">
        <f t="shared" si="5"/>
        <v>1</v>
      </c>
      <c r="I56" s="81">
        <f t="shared" si="0"/>
        <v>0</v>
      </c>
      <c r="J56" s="74">
        <v>29.8</v>
      </c>
      <c r="K56" s="83">
        <f t="shared" si="1"/>
        <v>37.548</v>
      </c>
      <c r="L56" s="82">
        <f t="shared" si="2"/>
        <v>37.548</v>
      </c>
      <c r="M56" s="96">
        <f t="shared" si="4"/>
        <v>37.548</v>
      </c>
    </row>
    <row r="57" spans="1:13" ht="12.75">
      <c r="A57" s="71" t="s">
        <v>235</v>
      </c>
      <c r="B57" s="73" t="s">
        <v>236</v>
      </c>
      <c r="C57" s="192" t="s">
        <v>237</v>
      </c>
      <c r="D57" s="192"/>
      <c r="E57" s="73"/>
      <c r="F57" s="74" t="s">
        <v>137</v>
      </c>
      <c r="G57" s="74">
        <v>2</v>
      </c>
      <c r="H57" s="80">
        <f t="shared" si="5"/>
        <v>2</v>
      </c>
      <c r="I57" s="81">
        <f t="shared" si="0"/>
        <v>0</v>
      </c>
      <c r="J57" s="74">
        <v>15</v>
      </c>
      <c r="K57" s="83">
        <f t="shared" si="1"/>
        <v>18.9</v>
      </c>
      <c r="L57" s="82">
        <f t="shared" si="2"/>
        <v>37.8</v>
      </c>
      <c r="M57" s="96">
        <f t="shared" si="4"/>
        <v>37.8</v>
      </c>
    </row>
    <row r="58" spans="1:13" ht="12.75">
      <c r="A58" s="71" t="s">
        <v>238</v>
      </c>
      <c r="B58" s="73" t="s">
        <v>239</v>
      </c>
      <c r="C58" s="192" t="s">
        <v>240</v>
      </c>
      <c r="D58" s="192"/>
      <c r="E58" s="73"/>
      <c r="F58" s="74" t="s">
        <v>137</v>
      </c>
      <c r="G58" s="74">
        <v>6</v>
      </c>
      <c r="H58" s="80">
        <f t="shared" si="5"/>
        <v>6</v>
      </c>
      <c r="I58" s="81">
        <f t="shared" si="0"/>
        <v>0</v>
      </c>
      <c r="J58" s="74">
        <v>56.69</v>
      </c>
      <c r="K58" s="83">
        <f t="shared" si="1"/>
        <v>71.4294</v>
      </c>
      <c r="L58" s="82">
        <f t="shared" si="2"/>
        <v>428.57640000000004</v>
      </c>
      <c r="M58" s="96">
        <f t="shared" si="4"/>
        <v>428.57640000000004</v>
      </c>
    </row>
    <row r="59" spans="1:13" ht="12.75">
      <c r="A59" s="71" t="s">
        <v>241</v>
      </c>
      <c r="B59" s="73" t="s">
        <v>242</v>
      </c>
      <c r="C59" s="192" t="s">
        <v>243</v>
      </c>
      <c r="D59" s="192"/>
      <c r="E59" s="73"/>
      <c r="F59" s="74" t="s">
        <v>137</v>
      </c>
      <c r="G59" s="74">
        <v>10</v>
      </c>
      <c r="H59" s="80">
        <f t="shared" si="5"/>
        <v>10</v>
      </c>
      <c r="I59" s="81">
        <f t="shared" si="0"/>
        <v>0</v>
      </c>
      <c r="J59" s="74">
        <v>6</v>
      </c>
      <c r="K59" s="83">
        <f t="shared" si="1"/>
        <v>7.5600000000000005</v>
      </c>
      <c r="L59" s="82">
        <f t="shared" si="2"/>
        <v>75.60000000000001</v>
      </c>
      <c r="M59" s="96">
        <f t="shared" si="4"/>
        <v>75.60000000000001</v>
      </c>
    </row>
    <row r="60" spans="1:13" ht="12.75">
      <c r="A60" s="71" t="s">
        <v>244</v>
      </c>
      <c r="B60" s="73" t="s">
        <v>245</v>
      </c>
      <c r="C60" s="192" t="s">
        <v>246</v>
      </c>
      <c r="D60" s="192"/>
      <c r="E60" s="73"/>
      <c r="F60" s="74" t="s">
        <v>137</v>
      </c>
      <c r="G60" s="74">
        <v>8</v>
      </c>
      <c r="H60" s="80">
        <f t="shared" si="5"/>
        <v>8</v>
      </c>
      <c r="I60" s="81">
        <f t="shared" si="0"/>
        <v>0</v>
      </c>
      <c r="J60" s="74">
        <v>6.1</v>
      </c>
      <c r="K60" s="83">
        <f t="shared" si="1"/>
        <v>7.686</v>
      </c>
      <c r="L60" s="82">
        <f t="shared" si="2"/>
        <v>61.488</v>
      </c>
      <c r="M60" s="96">
        <f t="shared" si="4"/>
        <v>61.488</v>
      </c>
    </row>
    <row r="61" spans="1:13" ht="12.75">
      <c r="A61" s="71" t="s">
        <v>247</v>
      </c>
      <c r="B61" s="73" t="s">
        <v>248</v>
      </c>
      <c r="C61" s="192" t="s">
        <v>249</v>
      </c>
      <c r="D61" s="192"/>
      <c r="E61" s="73"/>
      <c r="F61" s="74" t="s">
        <v>137</v>
      </c>
      <c r="G61" s="74">
        <v>26</v>
      </c>
      <c r="H61" s="80">
        <f t="shared" si="5"/>
        <v>26</v>
      </c>
      <c r="I61" s="81">
        <f t="shared" si="0"/>
        <v>0</v>
      </c>
      <c r="J61" s="74">
        <v>11.45</v>
      </c>
      <c r="K61" s="83">
        <f t="shared" si="1"/>
        <v>14.427</v>
      </c>
      <c r="L61" s="82">
        <f t="shared" si="2"/>
        <v>375.102</v>
      </c>
      <c r="M61" s="96">
        <f t="shared" si="4"/>
        <v>375.102</v>
      </c>
    </row>
    <row r="62" spans="1:13" ht="12.75">
      <c r="A62" s="71" t="s">
        <v>250</v>
      </c>
      <c r="B62" s="73" t="s">
        <v>111</v>
      </c>
      <c r="C62" s="192" t="s">
        <v>251</v>
      </c>
      <c r="D62" s="192"/>
      <c r="E62" s="73"/>
      <c r="F62" s="74" t="s">
        <v>137</v>
      </c>
      <c r="G62" s="74">
        <v>6</v>
      </c>
      <c r="H62" s="80">
        <f t="shared" si="5"/>
        <v>6</v>
      </c>
      <c r="I62" s="81">
        <f t="shared" si="0"/>
        <v>0</v>
      </c>
      <c r="J62" s="74">
        <v>40.9</v>
      </c>
      <c r="K62" s="83">
        <f t="shared" si="1"/>
        <v>51.534</v>
      </c>
      <c r="L62" s="82">
        <f t="shared" si="2"/>
        <v>309.204</v>
      </c>
      <c r="M62" s="96">
        <f t="shared" si="4"/>
        <v>309.204</v>
      </c>
    </row>
    <row r="63" spans="1:13" ht="30.75" customHeight="1">
      <c r="A63" s="71" t="s">
        <v>252</v>
      </c>
      <c r="B63" s="73" t="s">
        <v>253</v>
      </c>
      <c r="C63" s="195" t="s">
        <v>254</v>
      </c>
      <c r="D63" s="195"/>
      <c r="E63" s="73"/>
      <c r="F63" s="74" t="s">
        <v>137</v>
      </c>
      <c r="G63" s="74">
        <v>26</v>
      </c>
      <c r="H63" s="80"/>
      <c r="I63" s="81">
        <f t="shared" si="0"/>
        <v>26</v>
      </c>
      <c r="J63" s="74">
        <v>1389.11</v>
      </c>
      <c r="K63" s="83">
        <f t="shared" si="1"/>
        <v>1750.2785999999999</v>
      </c>
      <c r="L63" s="82">
        <f t="shared" si="2"/>
        <v>45507.243599999994</v>
      </c>
      <c r="M63" s="96">
        <f t="shared" si="4"/>
        <v>0</v>
      </c>
    </row>
    <row r="64" spans="1:15" ht="12.75">
      <c r="A64" s="73"/>
      <c r="B64" s="73"/>
      <c r="C64" s="192"/>
      <c r="D64" s="192"/>
      <c r="E64" s="73"/>
      <c r="F64" s="74"/>
      <c r="G64" s="74"/>
      <c r="H64" s="80"/>
      <c r="I64" s="81">
        <f t="shared" si="0"/>
        <v>0</v>
      </c>
      <c r="J64" s="74"/>
      <c r="K64" s="83"/>
      <c r="L64" s="82"/>
      <c r="M64" s="96">
        <f>SUM(M44:M63)</f>
        <v>22380.8004</v>
      </c>
      <c r="N64" s="96">
        <f>SUM(L44:L63)</f>
        <v>67888.044</v>
      </c>
      <c r="O64" s="95">
        <f>M64/N64</f>
        <v>0.32967219382546953</v>
      </c>
    </row>
    <row r="65" spans="1:12" s="108" customFormat="1" ht="12.75">
      <c r="A65" s="104">
        <v>6</v>
      </c>
      <c r="B65" s="105"/>
      <c r="C65" s="224" t="s">
        <v>255</v>
      </c>
      <c r="D65" s="224"/>
      <c r="E65" s="105"/>
      <c r="F65" s="104"/>
      <c r="G65" s="104"/>
      <c r="H65" s="104"/>
      <c r="I65" s="104">
        <f t="shared" si="0"/>
        <v>0</v>
      </c>
      <c r="J65" s="104"/>
      <c r="K65" s="106"/>
      <c r="L65" s="107"/>
    </row>
    <row r="66" spans="1:12" ht="12.75">
      <c r="A66" s="71" t="s">
        <v>256</v>
      </c>
      <c r="B66" s="73"/>
      <c r="C66" s="192" t="s">
        <v>257</v>
      </c>
      <c r="D66" s="192"/>
      <c r="E66" s="73"/>
      <c r="F66" s="74"/>
      <c r="G66" s="74">
        <f>505.27</f>
        <v>505.27</v>
      </c>
      <c r="H66" s="80"/>
      <c r="I66" s="81">
        <f t="shared" si="0"/>
        <v>505.27</v>
      </c>
      <c r="J66" s="74"/>
      <c r="K66" s="83"/>
      <c r="L66" s="82"/>
    </row>
    <row r="67" spans="1:13" ht="30" customHeight="1">
      <c r="A67" s="71" t="s">
        <v>258</v>
      </c>
      <c r="B67" s="73" t="s">
        <v>58</v>
      </c>
      <c r="C67" s="195" t="s">
        <v>259</v>
      </c>
      <c r="D67" s="195"/>
      <c r="E67" s="73"/>
      <c r="F67" s="74" t="s">
        <v>133</v>
      </c>
      <c r="G67" s="84">
        <v>1099.76</v>
      </c>
      <c r="H67" s="85">
        <f>934.8+164.96</f>
        <v>1099.76</v>
      </c>
      <c r="I67" s="81">
        <f t="shared" si="0"/>
        <v>0</v>
      </c>
      <c r="J67" s="74">
        <v>37.25</v>
      </c>
      <c r="K67" s="83">
        <f t="shared" si="1"/>
        <v>46.935</v>
      </c>
      <c r="L67" s="82">
        <f t="shared" si="2"/>
        <v>51617.2356</v>
      </c>
      <c r="M67" s="96">
        <f>H67*K67</f>
        <v>51617.2356</v>
      </c>
    </row>
    <row r="68" spans="1:13" ht="30.75" customHeight="1">
      <c r="A68" s="71" t="s">
        <v>260</v>
      </c>
      <c r="B68" s="73" t="s">
        <v>261</v>
      </c>
      <c r="C68" s="195" t="s">
        <v>262</v>
      </c>
      <c r="D68" s="195"/>
      <c r="E68" s="73"/>
      <c r="F68" s="74" t="s">
        <v>133</v>
      </c>
      <c r="G68" s="74">
        <v>999.18</v>
      </c>
      <c r="H68" s="80">
        <v>505.27</v>
      </c>
      <c r="I68" s="81">
        <f t="shared" si="0"/>
        <v>493.90999999999997</v>
      </c>
      <c r="J68" s="74">
        <v>58.15</v>
      </c>
      <c r="K68" s="83">
        <f t="shared" si="1"/>
        <v>73.269</v>
      </c>
      <c r="L68" s="82">
        <f t="shared" si="2"/>
        <v>73208.91942</v>
      </c>
      <c r="M68" s="96">
        <f>H68*K68</f>
        <v>37020.62763</v>
      </c>
    </row>
    <row r="69" spans="1:15" ht="12.75">
      <c r="A69" s="73"/>
      <c r="B69" s="73"/>
      <c r="C69" s="193"/>
      <c r="D69" s="193"/>
      <c r="E69" s="73"/>
      <c r="F69" s="74"/>
      <c r="G69" s="74"/>
      <c r="H69" s="80"/>
      <c r="I69" s="81">
        <f t="shared" si="0"/>
        <v>0</v>
      </c>
      <c r="J69" s="74"/>
      <c r="K69" s="83"/>
      <c r="L69" s="82"/>
      <c r="M69" s="96">
        <f>SUM(M67:M68)</f>
        <v>88637.86323</v>
      </c>
      <c r="N69" s="96">
        <f>SUM(L67:L68)</f>
        <v>124826.15502</v>
      </c>
      <c r="O69" s="95">
        <f>M69/N69</f>
        <v>0.7100904711500422</v>
      </c>
    </row>
    <row r="70" spans="1:12" s="108" customFormat="1" ht="12.75">
      <c r="A70" s="104">
        <v>7</v>
      </c>
      <c r="B70" s="105"/>
      <c r="C70" s="224" t="s">
        <v>63</v>
      </c>
      <c r="D70" s="224"/>
      <c r="E70" s="105"/>
      <c r="F70" s="104"/>
      <c r="G70" s="104"/>
      <c r="H70" s="104"/>
      <c r="I70" s="104">
        <f t="shared" si="0"/>
        <v>0</v>
      </c>
      <c r="J70" s="104"/>
      <c r="K70" s="106"/>
      <c r="L70" s="107"/>
    </row>
    <row r="71" spans="1:12" ht="12.75">
      <c r="A71" s="71" t="s">
        <v>263</v>
      </c>
      <c r="B71" s="73"/>
      <c r="C71" s="192" t="s">
        <v>264</v>
      </c>
      <c r="D71" s="192"/>
      <c r="E71" s="73"/>
      <c r="F71" s="74"/>
      <c r="G71" s="74"/>
      <c r="H71" s="80"/>
      <c r="I71" s="81">
        <f t="shared" si="0"/>
        <v>0</v>
      </c>
      <c r="J71" s="74"/>
      <c r="K71" s="83"/>
      <c r="L71" s="82"/>
    </row>
    <row r="72" spans="1:13" ht="12.75">
      <c r="A72" s="71" t="s">
        <v>265</v>
      </c>
      <c r="B72" s="73" t="s">
        <v>266</v>
      </c>
      <c r="C72" s="192" t="s">
        <v>267</v>
      </c>
      <c r="D72" s="192"/>
      <c r="E72" s="73"/>
      <c r="F72" s="74" t="s">
        <v>133</v>
      </c>
      <c r="G72" s="74">
        <v>196.37</v>
      </c>
      <c r="H72" s="80">
        <f>196.37</f>
        <v>196.37</v>
      </c>
      <c r="I72" s="81">
        <f t="shared" si="0"/>
        <v>0</v>
      </c>
      <c r="J72" s="74">
        <v>30.32</v>
      </c>
      <c r="K72" s="83">
        <f t="shared" si="1"/>
        <v>38.2032</v>
      </c>
      <c r="L72" s="82">
        <f t="shared" si="2"/>
        <v>7501.962384</v>
      </c>
      <c r="M72" s="96">
        <f>H72*K72</f>
        <v>7501.962384</v>
      </c>
    </row>
    <row r="73" spans="1:13" ht="30.75" customHeight="1">
      <c r="A73" s="71" t="s">
        <v>268</v>
      </c>
      <c r="B73" s="73" t="s">
        <v>269</v>
      </c>
      <c r="C73" s="195" t="s">
        <v>270</v>
      </c>
      <c r="D73" s="195"/>
      <c r="E73" s="73"/>
      <c r="F73" s="74" t="s">
        <v>271</v>
      </c>
      <c r="G73" s="74">
        <v>14.55</v>
      </c>
      <c r="H73" s="80">
        <f>14.55</f>
        <v>14.55</v>
      </c>
      <c r="I73" s="81">
        <f t="shared" si="0"/>
        <v>0</v>
      </c>
      <c r="J73" s="74">
        <v>1130</v>
      </c>
      <c r="K73" s="83">
        <f t="shared" si="1"/>
        <v>1423.8</v>
      </c>
      <c r="L73" s="82">
        <f t="shared" si="2"/>
        <v>20716.29</v>
      </c>
      <c r="M73" s="96">
        <f aca="true" t="shared" si="6" ref="M73:M81">H73*K73</f>
        <v>20716.29</v>
      </c>
    </row>
    <row r="74" spans="1:13" ht="12.75">
      <c r="A74" s="71" t="s">
        <v>272</v>
      </c>
      <c r="B74" s="73" t="s">
        <v>273</v>
      </c>
      <c r="C74" s="192" t="s">
        <v>274</v>
      </c>
      <c r="D74" s="192"/>
      <c r="E74" s="73"/>
      <c r="F74" s="74" t="s">
        <v>271</v>
      </c>
      <c r="G74" s="74">
        <v>766.52</v>
      </c>
      <c r="H74" s="80">
        <f>766.52</f>
        <v>766.52</v>
      </c>
      <c r="I74" s="81">
        <f t="shared" si="0"/>
        <v>0</v>
      </c>
      <c r="J74" s="74">
        <v>25</v>
      </c>
      <c r="K74" s="83">
        <f t="shared" si="1"/>
        <v>31.5</v>
      </c>
      <c r="L74" s="82">
        <f t="shared" si="2"/>
        <v>24145.38</v>
      </c>
      <c r="M74" s="96">
        <f t="shared" si="6"/>
        <v>24145.38</v>
      </c>
    </row>
    <row r="75" spans="1:13" ht="12.75">
      <c r="A75" s="71" t="s">
        <v>275</v>
      </c>
      <c r="B75" s="73" t="s">
        <v>276</v>
      </c>
      <c r="C75" s="192" t="s">
        <v>277</v>
      </c>
      <c r="D75" s="192"/>
      <c r="E75" s="73"/>
      <c r="F75" s="74" t="s">
        <v>133</v>
      </c>
      <c r="G75" s="74">
        <v>232.74</v>
      </c>
      <c r="H75" s="80">
        <v>232.74</v>
      </c>
      <c r="I75" s="81">
        <f aca="true" t="shared" si="7" ref="I75:I81">G75-H75</f>
        <v>0</v>
      </c>
      <c r="J75" s="74">
        <v>3.59</v>
      </c>
      <c r="K75" s="83">
        <f aca="true" t="shared" si="8" ref="K75:K81">(J75*0.26)+J75</f>
        <v>4.5234</v>
      </c>
      <c r="L75" s="82">
        <f aca="true" t="shared" si="9" ref="L75:L81">G75*K75</f>
        <v>1052.776116</v>
      </c>
      <c r="M75" s="96">
        <f t="shared" si="6"/>
        <v>1052.776116</v>
      </c>
    </row>
    <row r="76" spans="1:13" ht="30.75" customHeight="1">
      <c r="A76" s="71" t="s">
        <v>278</v>
      </c>
      <c r="B76" s="73" t="s">
        <v>279</v>
      </c>
      <c r="C76" s="195" t="s">
        <v>280</v>
      </c>
      <c r="D76" s="195"/>
      <c r="E76" s="73"/>
      <c r="F76" s="74" t="s">
        <v>133</v>
      </c>
      <c r="G76" s="74">
        <v>232.74</v>
      </c>
      <c r="H76" s="80">
        <v>232.74</v>
      </c>
      <c r="I76" s="81">
        <f t="shared" si="7"/>
        <v>0</v>
      </c>
      <c r="J76" s="74">
        <v>21.12</v>
      </c>
      <c r="K76" s="83">
        <f t="shared" si="8"/>
        <v>26.6112</v>
      </c>
      <c r="L76" s="82">
        <f t="shared" si="9"/>
        <v>6193.490688</v>
      </c>
      <c r="M76" s="96">
        <f t="shared" si="6"/>
        <v>6193.490688</v>
      </c>
    </row>
    <row r="77" spans="1:13" ht="12.75">
      <c r="A77" s="71" t="s">
        <v>281</v>
      </c>
      <c r="B77" s="73" t="s">
        <v>64</v>
      </c>
      <c r="C77" s="196" t="s">
        <v>65</v>
      </c>
      <c r="D77" s="196"/>
      <c r="E77" s="73"/>
      <c r="F77" s="74" t="s">
        <v>133</v>
      </c>
      <c r="G77" s="74">
        <v>232.74</v>
      </c>
      <c r="H77" s="80">
        <f>G77</f>
        <v>232.74</v>
      </c>
      <c r="I77" s="81">
        <f t="shared" si="7"/>
        <v>0</v>
      </c>
      <c r="J77" s="74">
        <v>3.3</v>
      </c>
      <c r="K77" s="83">
        <f t="shared" si="8"/>
        <v>4.1579999999999995</v>
      </c>
      <c r="L77" s="82">
        <f t="shared" si="9"/>
        <v>967.7329199999999</v>
      </c>
      <c r="M77" s="96">
        <f t="shared" si="6"/>
        <v>967.7329199999999</v>
      </c>
    </row>
    <row r="78" spans="1:13" ht="33" customHeight="1">
      <c r="A78" s="71" t="s">
        <v>282</v>
      </c>
      <c r="B78" s="73" t="s">
        <v>66</v>
      </c>
      <c r="C78" s="195" t="s">
        <v>283</v>
      </c>
      <c r="D78" s="195"/>
      <c r="E78" s="73"/>
      <c r="F78" s="74" t="s">
        <v>133</v>
      </c>
      <c r="G78" s="74">
        <v>232.74</v>
      </c>
      <c r="H78" s="80">
        <f>G78</f>
        <v>232.74</v>
      </c>
      <c r="I78" s="81">
        <f t="shared" si="7"/>
        <v>0</v>
      </c>
      <c r="J78" s="74">
        <v>9.35</v>
      </c>
      <c r="K78" s="83">
        <f t="shared" si="8"/>
        <v>11.780999999999999</v>
      </c>
      <c r="L78" s="82">
        <f t="shared" si="9"/>
        <v>2741.90994</v>
      </c>
      <c r="M78" s="96">
        <f t="shared" si="6"/>
        <v>2741.90994</v>
      </c>
    </row>
    <row r="79" spans="1:13" ht="30.75" customHeight="1">
      <c r="A79" s="71" t="s">
        <v>284</v>
      </c>
      <c r="B79" s="73" t="s">
        <v>285</v>
      </c>
      <c r="C79" s="195" t="s">
        <v>286</v>
      </c>
      <c r="D79" s="195"/>
      <c r="E79" s="73"/>
      <c r="F79" s="74" t="s">
        <v>133</v>
      </c>
      <c r="G79" s="74">
        <v>564.37</v>
      </c>
      <c r="H79" s="80">
        <f>G79</f>
        <v>564.37</v>
      </c>
      <c r="I79" s="81">
        <f t="shared" si="7"/>
        <v>0</v>
      </c>
      <c r="J79" s="74">
        <v>29.75</v>
      </c>
      <c r="K79" s="83">
        <f t="shared" si="8"/>
        <v>37.485</v>
      </c>
      <c r="L79" s="82">
        <f t="shared" si="9"/>
        <v>21155.40945</v>
      </c>
      <c r="M79" s="96">
        <f t="shared" si="6"/>
        <v>21155.40945</v>
      </c>
    </row>
    <row r="80" spans="1:13" ht="30" customHeight="1">
      <c r="A80" s="71" t="s">
        <v>287</v>
      </c>
      <c r="B80" s="73" t="s">
        <v>288</v>
      </c>
      <c r="C80" s="195" t="s">
        <v>289</v>
      </c>
      <c r="D80" s="195"/>
      <c r="E80" s="73"/>
      <c r="F80" s="74" t="s">
        <v>271</v>
      </c>
      <c r="G80" s="74">
        <v>6.2</v>
      </c>
      <c r="H80" s="80">
        <v>6.2</v>
      </c>
      <c r="I80" s="81">
        <f t="shared" si="7"/>
        <v>0</v>
      </c>
      <c r="J80" s="74">
        <v>1771.35</v>
      </c>
      <c r="K80" s="83">
        <f t="shared" si="8"/>
        <v>2231.901</v>
      </c>
      <c r="L80" s="82">
        <f t="shared" si="9"/>
        <v>13837.786199999999</v>
      </c>
      <c r="M80" s="96">
        <f t="shared" si="6"/>
        <v>13837.786199999999</v>
      </c>
    </row>
    <row r="81" spans="1:13" ht="30" customHeight="1">
      <c r="A81" s="71" t="s">
        <v>290</v>
      </c>
      <c r="B81" s="73" t="s">
        <v>291</v>
      </c>
      <c r="C81" s="195" t="s">
        <v>292</v>
      </c>
      <c r="D81" s="195"/>
      <c r="E81" s="73"/>
      <c r="F81" s="74" t="s">
        <v>23</v>
      </c>
      <c r="G81" s="74">
        <v>139.66</v>
      </c>
      <c r="H81" s="80">
        <f>G81</f>
        <v>139.66</v>
      </c>
      <c r="I81" s="81">
        <f t="shared" si="7"/>
        <v>0</v>
      </c>
      <c r="J81" s="74">
        <v>273.15</v>
      </c>
      <c r="K81" s="83">
        <f t="shared" si="8"/>
        <v>344.169</v>
      </c>
      <c r="L81" s="82">
        <f t="shared" si="9"/>
        <v>48066.64253999999</v>
      </c>
      <c r="M81" s="96">
        <f t="shared" si="6"/>
        <v>48066.64253999999</v>
      </c>
    </row>
    <row r="82" spans="1:12" ht="12.75">
      <c r="A82" s="73"/>
      <c r="B82" s="73"/>
      <c r="C82" s="193"/>
      <c r="D82" s="193"/>
      <c r="E82" s="73"/>
      <c r="F82" s="73"/>
      <c r="G82" s="74"/>
      <c r="H82" s="80"/>
      <c r="I82" s="81"/>
      <c r="J82" s="74"/>
      <c r="K82" s="74"/>
      <c r="L82" s="82"/>
    </row>
    <row r="83" spans="1:15" ht="14.25">
      <c r="A83" s="194" t="s">
        <v>38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86">
        <v>415578.43</v>
      </c>
      <c r="M83" s="96">
        <f>SUM(M72:M81)</f>
        <v>146379.38023799998</v>
      </c>
      <c r="N83" s="54">
        <f>SUM(L72:L81)</f>
        <v>146379.38023799998</v>
      </c>
      <c r="O83" s="95">
        <f>M83/N83</f>
        <v>1</v>
      </c>
    </row>
    <row r="85" ht="12.75">
      <c r="L85">
        <v>308847.22</v>
      </c>
    </row>
    <row r="86" ht="12.75">
      <c r="L86" s="95">
        <f>L85/L83</f>
        <v>0.7431743269254855</v>
      </c>
    </row>
  </sheetData>
  <sheetProtection/>
  <mergeCells count="86">
    <mergeCell ref="C82:D82"/>
    <mergeCell ref="A83:K83"/>
    <mergeCell ref="C76:D76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58:D58"/>
    <mergeCell ref="C59:D59"/>
    <mergeCell ref="C60:D60"/>
    <mergeCell ref="C61:D61"/>
    <mergeCell ref="C74:D74"/>
    <mergeCell ref="C75:D75"/>
    <mergeCell ref="C64:D64"/>
    <mergeCell ref="C65:D65"/>
    <mergeCell ref="C66:D66"/>
    <mergeCell ref="C67:D67"/>
    <mergeCell ref="C48:D48"/>
    <mergeCell ref="C49:D49"/>
    <mergeCell ref="C62:D62"/>
    <mergeCell ref="C63:D63"/>
    <mergeCell ref="C52:D52"/>
    <mergeCell ref="C53:D53"/>
    <mergeCell ref="C54:D54"/>
    <mergeCell ref="C55:D55"/>
    <mergeCell ref="C56:D56"/>
    <mergeCell ref="C57:D57"/>
    <mergeCell ref="C50:D50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32:D32"/>
    <mergeCell ref="C33:D33"/>
    <mergeCell ref="C34:D34"/>
    <mergeCell ref="C35:D35"/>
    <mergeCell ref="C36:D36"/>
    <mergeCell ref="C37:D37"/>
    <mergeCell ref="C22:D22"/>
    <mergeCell ref="C23:D23"/>
    <mergeCell ref="C24:D24"/>
    <mergeCell ref="C25:D25"/>
    <mergeCell ref="C38:D38"/>
    <mergeCell ref="C39:D39"/>
    <mergeCell ref="C28:D28"/>
    <mergeCell ref="C29:D29"/>
    <mergeCell ref="C30:D30"/>
    <mergeCell ref="C31:D31"/>
    <mergeCell ref="C12:E12"/>
    <mergeCell ref="C13:E13"/>
    <mergeCell ref="C26:D26"/>
    <mergeCell ref="C27:D27"/>
    <mergeCell ref="C16:D16"/>
    <mergeCell ref="C17:D17"/>
    <mergeCell ref="C18:D18"/>
    <mergeCell ref="C19:D19"/>
    <mergeCell ref="C20:D20"/>
    <mergeCell ref="C21:D21"/>
    <mergeCell ref="C14:D14"/>
    <mergeCell ref="C15:D15"/>
    <mergeCell ref="D5:J6"/>
    <mergeCell ref="K5:L5"/>
    <mergeCell ref="K6:L6"/>
    <mergeCell ref="C7:E7"/>
    <mergeCell ref="C8:E8"/>
    <mergeCell ref="C9:E9"/>
    <mergeCell ref="C10:E10"/>
    <mergeCell ref="C11:E11"/>
    <mergeCell ref="D4:L4"/>
    <mergeCell ref="A1:L1"/>
    <mergeCell ref="A2:F2"/>
    <mergeCell ref="G2:L2"/>
    <mergeCell ref="A3:F3"/>
    <mergeCell ref="G3:L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Usuário do Windows</cp:lastModifiedBy>
  <cp:lastPrinted>2023-12-12T11:18:00Z</cp:lastPrinted>
  <dcterms:created xsi:type="dcterms:W3CDTF">2006-09-22T13:55:22Z</dcterms:created>
  <dcterms:modified xsi:type="dcterms:W3CDTF">2023-12-22T12:25:43Z</dcterms:modified>
  <cp:category/>
  <cp:version/>
  <cp:contentType/>
  <cp:contentStatus/>
</cp:coreProperties>
</file>