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14388" windowHeight="7692" firstSheet="2" activeTab="2"/>
  </bookViews>
  <sheets>
    <sheet name="Planilha Orcamentária" sheetId="1" state="hidden" r:id="rId1"/>
    <sheet name="O Q foi PAGO" sheetId="2" state="hidden" r:id="rId2"/>
    <sheet name="Planilha" sheetId="3" r:id="rId3"/>
    <sheet name="O Q foi PAGO (2)" sheetId="4" state="hidden" r:id="rId4"/>
  </sheets>
  <definedNames>
    <definedName name="_xlnm.Print_Area" localSheetId="2">'Planilha'!$A$1:$J$144</definedName>
    <definedName name="_xlnm.Print_Area" localSheetId="0">'Planilha Orcamentária'!$A$1:$H$62</definedName>
    <definedName name="EMPRESAS">OFFSET(#REF!,1,0):OFFSET(#REF!,-1,0)</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"$#REF!.$A$1:$B$3278"</definedName>
    <definedName name="Excel_BuiltIn__FilterDatabase_6_1">NA()</definedName>
    <definedName name="Excel_BuiltIn_Print_Area">"$#REF!.$B$1:$N$9"</definedName>
    <definedName name="Excel_BuiltIn_Print_Titles">"$#REF!.$A$1:$AMJ$9"</definedName>
    <definedName name="INDICES">OFFSET(#REF!,1,0):OFFSET(#REF!,-1,0)</definedName>
    <definedName name="NCOTACOES">15</definedName>
    <definedName name="NEMPRESAS">15</definedName>
    <definedName name="NINDICES">3</definedName>
    <definedName name="_xlnm.Print_Titles" localSheetId="2">'Planilha'!$10:$10</definedName>
    <definedName name="_xlnm.Print_Titles" localSheetId="0">'Planilha Orcamentária'!$1:$12</definedName>
  </definedNames>
  <calcPr fullCalcOnLoad="1"/>
</workbook>
</file>

<file path=xl/sharedStrings.xml><?xml version="1.0" encoding="utf-8"?>
<sst xmlns="http://schemas.openxmlformats.org/spreadsheetml/2006/main" count="1109" uniqueCount="637">
  <si>
    <t>ITEM</t>
  </si>
  <si>
    <t>DESCRIÇÃO</t>
  </si>
  <si>
    <t>QUANTIDADE</t>
  </si>
  <si>
    <t>UNIDADE</t>
  </si>
  <si>
    <t>PLANILHA ORÇAMENTÁRIA DE CUSTOS</t>
  </si>
  <si>
    <t>CÓDIGO</t>
  </si>
  <si>
    <t>DIRETA</t>
  </si>
  <si>
    <t>INDIRETA</t>
  </si>
  <si>
    <t>(    )</t>
  </si>
  <si>
    <t>LDI</t>
  </si>
  <si>
    <t>PREÇO TOTAL</t>
  </si>
  <si>
    <t>CREA</t>
  </si>
  <si>
    <t xml:space="preserve">FORMA DE EXECUÇÃO: </t>
  </si>
  <si>
    <t>PREÇO UNITÁRIO S/ LDI</t>
  </si>
  <si>
    <t>PREÇO UNITÁRIO C/ LDI</t>
  </si>
  <si>
    <t>M2</t>
  </si>
  <si>
    <t>1.1</t>
  </si>
  <si>
    <t>INSTALAÇÕES INICIAIS DA OBRA</t>
  </si>
  <si>
    <t>1.2</t>
  </si>
  <si>
    <t>2.1</t>
  </si>
  <si>
    <t>2.2</t>
  </si>
  <si>
    <t>2.3</t>
  </si>
  <si>
    <t>3.1</t>
  </si>
  <si>
    <t>M</t>
  </si>
  <si>
    <t>TOTAL GERAL DA OBRA</t>
  </si>
  <si>
    <t xml:space="preserve">FOLHA Nº: </t>
  </si>
  <si>
    <t>(  x  )</t>
  </si>
  <si>
    <t>TOTAL</t>
  </si>
  <si>
    <t>PREFEITURA: Prefeitura Municipal de Coração de Jesus</t>
  </si>
  <si>
    <t>R.T: Eng. Civil Eduardo Marques Dias</t>
  </si>
  <si>
    <t>45.984/D-MG</t>
  </si>
  <si>
    <t xml:space="preserve">M3 </t>
  </si>
  <si>
    <t>2.1.1</t>
  </si>
  <si>
    <t>2.3.1</t>
  </si>
  <si>
    <t>3.1.1</t>
  </si>
  <si>
    <t>3.1.2</t>
  </si>
  <si>
    <t>3.1.3</t>
  </si>
  <si>
    <t>4.1.1</t>
  </si>
  <si>
    <t>4.1.2</t>
  </si>
  <si>
    <t>4.1.3</t>
  </si>
  <si>
    <t>Pedro Magalhães Araújo Neto - Prefeito Municipal de Coração de Jesus</t>
  </si>
  <si>
    <t>A N E X O   I I</t>
  </si>
  <si>
    <t>OBRA: Reforma da Praça Ferreira Leal</t>
  </si>
  <si>
    <t>DATA: 20/03/2014</t>
  </si>
  <si>
    <t>REGIÃO/MÊS DE REFERÊNCIA: Região Norte - Dezembro/2013 e Janeiro/2014</t>
  </si>
  <si>
    <t>PRAZO DE EXECUÇÃO: 02 Meses</t>
  </si>
  <si>
    <t>PISO</t>
  </si>
  <si>
    <t>OBR-VIA-210</t>
  </si>
  <si>
    <t>EXECUÇÃO DE CALÇAMENTO EM BLOQUETE - E = 6 CM - FCK = 25 MPA, INCLUINDO FORNECIMENTO E TRANSPORTE DE TODOS OS MATERIAIS, COLCHÃO DE ASSENTAMENTO E = 6 CM</t>
  </si>
  <si>
    <t xml:space="preserve">M2 </t>
  </si>
  <si>
    <t>PIN-ACR-025</t>
  </si>
  <si>
    <t xml:space="preserve">PINTURA ACRÍLICA SOBRE PISOS CIMENTADOS </t>
  </si>
  <si>
    <t>MIRANTE</t>
  </si>
  <si>
    <t>PIN-SEL-005</t>
  </si>
  <si>
    <t>PREPARAÇÃO PARA PINTURA EM PAREDES, PVA/ACRÍLICA COM FUNDO SELADOR</t>
  </si>
  <si>
    <t>PIN-ACR-005</t>
  </si>
  <si>
    <t>PINTURA ACRÍLICA, EM PAREDES, 2 DEMÃOS SEM MASSA CORRIDA, EXCLUSIVE FUNDO SELADOR</t>
  </si>
  <si>
    <t>GUARDA-CORPO</t>
  </si>
  <si>
    <t>EST-FOR-005</t>
  </si>
  <si>
    <t>FORMA E DESFORMA EM TÁBUAS DE PINHO, EXCLUSIVE ESCORAMENTO (3X) (PILARETES)</t>
  </si>
  <si>
    <t>EST-CON-015</t>
  </si>
  <si>
    <t>2.3.2</t>
  </si>
  <si>
    <t>FORNECIMENTO E LANÇAMENTO DE CONCRETO ESTRUTURAL VIRADO EM OBRA FCK &gt;= 13,5 MPA, BRITA 1 E 2 EM ESTRUTURA (PILARETES)</t>
  </si>
  <si>
    <t>2.3.3</t>
  </si>
  <si>
    <t>PIN-LAT-005</t>
  </si>
  <si>
    <t>PINTURA LÁTEX PVA, EM PAREDES, 2 DEMÃOS SEM MASSA CORRIDA, EXCLUSIVE FUNDO SELADOR (FECHAMENTO H=40 CM)</t>
  </si>
  <si>
    <t xml:space="preserve"> TUBO DE AÇO GALVANIZADO 2" (50MM) - FORNECIMENTO E INSTALACAO (GUARDA-CORPO)</t>
  </si>
  <si>
    <t>PIN-ESM-030</t>
  </si>
  <si>
    <t xml:space="preserve">M </t>
  </si>
  <si>
    <t>2.3.4</t>
  </si>
  <si>
    <t>2.3.5</t>
  </si>
  <si>
    <t>2.3.6</t>
  </si>
  <si>
    <t>PINTURA ÓLEO/ESMALTE, 2 DEMÃOS EM TUBO GALVANIZADO (GUARDA-CORPO)</t>
  </si>
  <si>
    <t>INSTALAÇÕES ELÉTRICAS</t>
  </si>
  <si>
    <t xml:space="preserve">UN </t>
  </si>
  <si>
    <t>ELE-LUM-070</t>
  </si>
  <si>
    <t>LUMINÁRIA REFLETORA PARA ILUMINAÇÃO PÚBLICA COM LÂMPADA VAPOR DE MERCÚRIO, 6 REFLETORES DE 400W EM POSTE DE CONCRETO COM 9 M DE ALTURA (COMPLETA)</t>
  </si>
  <si>
    <t xml:space="preserve">PÇ </t>
  </si>
  <si>
    <t>PAISAGISMO</t>
  </si>
  <si>
    <t xml:space="preserve">BANCO DE JARDIM EM CONCRETO TIPO 2, 150 X 40 CM, H = 45 CM </t>
  </si>
  <si>
    <t>BAN-JAR-015</t>
  </si>
  <si>
    <t>4.1</t>
  </si>
  <si>
    <t>ELE-CXS-085</t>
  </si>
  <si>
    <t>CAIXA DE PASSAGEM PARA PISO, METÁLICA, TAMPA ANTIDERRAPANTE, 400 X 400 X 200 CM</t>
  </si>
  <si>
    <t>ELE-ELE-020</t>
  </si>
  <si>
    <t xml:space="preserve">ELETRODUTO PVC RÍGIDO, ROSCA, INCLUSIVE CONEXÕES D = 1 1/4" </t>
  </si>
  <si>
    <t>ELE-CAB-025.7</t>
  </si>
  <si>
    <t>CABO DE COBRE ISOLAMENTO ANTI-CHAMA, SEÇÃO 10 MM2, 450/750 V - FLEXÍVEL (VERDE-AMARELO)</t>
  </si>
  <si>
    <t>ALVENARIA DE BLOCO DE CONCRETO E = 20 CM, APARENTE, VEDAÇÃO (FECHAMENTO H=40 CM)</t>
  </si>
  <si>
    <t>ALV-BLO-030</t>
  </si>
  <si>
    <t>HID-TUB-120</t>
  </si>
  <si>
    <t xml:space="preserve"> TUBO DE AÇO GALVANIZADO 1" (25MM) - FORNECIMENTO E INSTALACAO (GUARDA-CORPO)</t>
  </si>
  <si>
    <t>HID-TUB-105</t>
  </si>
  <si>
    <t>2.3.7</t>
  </si>
  <si>
    <t>3.2</t>
  </si>
  <si>
    <t>3.3</t>
  </si>
  <si>
    <t>3.4</t>
  </si>
  <si>
    <t>LOCAL: Praça Ferreira Leal, Centro, Municipio de Coração de Jesus-MG</t>
  </si>
  <si>
    <t>ELE-PAD-020</t>
  </si>
  <si>
    <t>PADRÃO CEMIG AÉREO TIPO D4, 27,1 &lt;= DEMANDA &lt;= 38 KVA,
TRIFÁSICO</t>
  </si>
  <si>
    <t>ELE-REL-005</t>
  </si>
  <si>
    <t>RELÉ FOTOELÉTRICO RM 10 120 V, 1200 VA COM BASE</t>
  </si>
  <si>
    <t>PLANILHA ORÇAMENTARIA DE CUSTOS - GERAL</t>
  </si>
  <si>
    <t>PREFEITURA: CORAÇÃO DE JESUS</t>
  </si>
  <si>
    <t>FOLHA N°:                  1</t>
  </si>
  <si>
    <t xml:space="preserve">OBRA: REFORMA DE PRAÇA </t>
  </si>
  <si>
    <t>DATA :                          23/05/2012</t>
  </si>
  <si>
    <t xml:space="preserve">LOCAL : CENTRO, PRAÇA FERREIRA LEAL </t>
  </si>
  <si>
    <t>FORMA DE EXECUÇÃO:</t>
  </si>
  <si>
    <t>REGIÃO/MÊS DE REFERÊNCIA: NORTE/MARÇO2012</t>
  </si>
  <si>
    <t>( ) DIRETA</t>
  </si>
  <si>
    <t>(X) INDIRETA</t>
  </si>
  <si>
    <t xml:space="preserve">PRAZO DE EXECUÇÃO: 3 MESES </t>
  </si>
  <si>
    <t xml:space="preserve">                LDI             26,00%</t>
  </si>
  <si>
    <t xml:space="preserve">DESCRIÇÃO DOS SERVIÇOS </t>
  </si>
  <si>
    <t>PREÇO UNITÁRIO S/LDI</t>
  </si>
  <si>
    <t>PREÇO UNITÁRIO C/LDI</t>
  </si>
  <si>
    <t xml:space="preserve">SERVIÇOS PRELIMINARES </t>
  </si>
  <si>
    <t xml:space="preserve">INSTALAÇÃO INICIAIS DA OBRA </t>
  </si>
  <si>
    <t>1.1.1</t>
  </si>
  <si>
    <t>IIO-BAR-046</t>
  </si>
  <si>
    <t>BARRAÇÃO DE OBRA</t>
  </si>
  <si>
    <t>M²</t>
  </si>
  <si>
    <t>1.1.2</t>
  </si>
  <si>
    <t>IIO-PLA-005</t>
  </si>
  <si>
    <t>FORNECIMENTO E COLOCAÇÃO DE PLACA DE OBRA EM CHAPA GALVANIZADA (3,00X1,50M) GOVERNO DE ESTADO</t>
  </si>
  <si>
    <t>UNI</t>
  </si>
  <si>
    <t>1.1.3</t>
  </si>
  <si>
    <t>IIO-LIG-010</t>
  </si>
  <si>
    <t>LIGAÇÃO PROVISÓRIA DE LUZ E FORÇA-PADRÃO PROVISÓRIA 30KVA</t>
  </si>
  <si>
    <t>1.1.4</t>
  </si>
  <si>
    <t>IIO-LIG-015</t>
  </si>
  <si>
    <t xml:space="preserve">LIGAÇÃO PROVISÓRIA DE AGUA E ESGOTO </t>
  </si>
  <si>
    <t xml:space="preserve">DEMOLIÇÃO E REMOÇÃO </t>
  </si>
  <si>
    <t>DEM-PIS-040</t>
  </si>
  <si>
    <t>DEMOLIÇÃO DE PASSEIO OU LAJE DE CONCRETO COM EQUIPAMENTO PNEUMÁTICO, INCLUSIVE AFASTAMENTO</t>
  </si>
  <si>
    <t xml:space="preserve">GRAMA E ÁRVORE </t>
  </si>
  <si>
    <t>PAI-GRA-015</t>
  </si>
  <si>
    <t xml:space="preserve">PLANTIO DE GRAMA ESMERALDA EM PLACAS, INCLUSIVE TERRA VEGETAL E CONSERVAÇÃO POR 30 DIAS </t>
  </si>
  <si>
    <t>PAI-COV-005</t>
  </si>
  <si>
    <t xml:space="preserve">PLANTIO E PREPARO DE COVAS DE ÁRVORE H MIN 1,80M COM COVA 60X60X60CM, EXCETO FORNOCIMENTO DE MUDAS </t>
  </si>
  <si>
    <t>PAI-MUD-010</t>
  </si>
  <si>
    <t xml:space="preserve">FORNOCIMENTO DE ÁRVORE - IPÊ ROSA </t>
  </si>
  <si>
    <t>3.1.4</t>
  </si>
  <si>
    <t>FORNECIMENTO DE ÁRVORE - FLAMBOYANT MIRIM</t>
  </si>
  <si>
    <t>3.1.5</t>
  </si>
  <si>
    <t>PAI-MUD-060</t>
  </si>
  <si>
    <t xml:space="preserve">FORNECIMENTO DE PALMEIRAS ARECA LUTESCENS </t>
  </si>
  <si>
    <t>3.1.6</t>
  </si>
  <si>
    <t>URB-COR-005</t>
  </si>
  <si>
    <t>CORDÃO DE CONCRETO PRÉ-MOLDADO BOLEADO 10X10CM</t>
  </si>
  <si>
    <t xml:space="preserve">INSTALAÇÃO HIDRÁULICA </t>
  </si>
  <si>
    <t xml:space="preserve">IRRIGAÇÃO </t>
  </si>
  <si>
    <t>HI-ADP-025</t>
  </si>
  <si>
    <t>ADAPTADOR SOLDÁVEL DE PVC MARROM COM FLANGES E ANEIS PARA CAIXA DE ÁGUA DN50MM X 1 1/2''</t>
  </si>
  <si>
    <t>HID-CXS-300</t>
  </si>
  <si>
    <t xml:space="preserve">CAIXA DE ÁGUA SUBTERRÂNEA, CAPACIDADE 15.000L, EM CONCRETO E CASAS DE BOMBAS </t>
  </si>
  <si>
    <t>HID-REG-105</t>
  </si>
  <si>
    <t>REGISTRO DE ESFERA EM PVC SOLDÁEL DN 32MM</t>
  </si>
  <si>
    <t>4.1.4</t>
  </si>
  <si>
    <t>HID-REG-030</t>
  </si>
  <si>
    <t>REGISTRO DE GAVETA BRUTO D= 32MM (1 1/4'')</t>
  </si>
  <si>
    <t>4.1.5</t>
  </si>
  <si>
    <t>HID-REG-035</t>
  </si>
  <si>
    <t>REGISTRO DE GAVETA BRUTO D= 40MM (1 1/2'')</t>
  </si>
  <si>
    <t>unid.</t>
  </si>
  <si>
    <t>4.1.6</t>
  </si>
  <si>
    <t>HID-TUB-015</t>
  </si>
  <si>
    <t>TUBO PVC RÍGIDO SOLDÁVEL, ÁGUA INCLUSIVE CONEXÕES E SUPORTE , 32MM</t>
  </si>
  <si>
    <t>4.1.7</t>
  </si>
  <si>
    <t>HID-TUB-010</t>
  </si>
  <si>
    <t>TUDO PVC RÍGIDO SOLDÁVEL , ÁGUA INCLUISIVE CONEXÕES E SUPORTES , 25MM</t>
  </si>
  <si>
    <t>4.1.8</t>
  </si>
  <si>
    <t>HID-TUB-020</t>
  </si>
  <si>
    <t>TUDO PVC RÍGIDO SOLDÁVEL , ÁGUA INCLUISIVE CONEXÕES E SUPORTES , 40MM</t>
  </si>
  <si>
    <t>4.1.9</t>
  </si>
  <si>
    <t>HID-TUB-025</t>
  </si>
  <si>
    <t>TUDO PVC RÍGIDO SOLDÁVEL , ÁGUA INCLUISIVE CONEXÕES E SUPORTES , 50MM</t>
  </si>
  <si>
    <t>4.1.10</t>
  </si>
  <si>
    <t>HID-BOM-035</t>
  </si>
  <si>
    <t>CONJUNTO ELEVATÓTIO MOTOR-BOMBA (CONTRÍFUGA) DE 3HP</t>
  </si>
  <si>
    <t>4.1.11</t>
  </si>
  <si>
    <t>MET-TOR-010</t>
  </si>
  <si>
    <t>TORNEIRA DE IRRIGAÇÃO D= 1/2''</t>
  </si>
  <si>
    <t xml:space="preserve">INSTALAÇÕES ELÉTRICAS </t>
  </si>
  <si>
    <t>5.1</t>
  </si>
  <si>
    <t xml:space="preserve">ILUMINAÇÃO </t>
  </si>
  <si>
    <t>5.1.1</t>
  </si>
  <si>
    <t>ELETRODUTO PVC RÍGIDO , ROSCA , INCLUSIVE CONEXÕES D= 1 1/4''</t>
  </si>
  <si>
    <t>5.1.2</t>
  </si>
  <si>
    <t>ELE-ELE-025</t>
  </si>
  <si>
    <t>ELETRODUTO PVC RÍGIDO , ROSCA , INCLUSIVE CONEXÕES D= 1 1/2''</t>
  </si>
  <si>
    <t>5.1.3</t>
  </si>
  <si>
    <t xml:space="preserve">PADRÃO CEMIG AEREO TIPO D4, 27,1&lt;=388&lt;VA, TRIFÁSICO </t>
  </si>
  <si>
    <t>5.1.4</t>
  </si>
  <si>
    <t>ELE-QUA-010</t>
  </si>
  <si>
    <t>QUADRO DE DISTRIBUIÇÃO PARA 20 MÓDULOS COM BARRAMENTO 100A</t>
  </si>
  <si>
    <t>5.1.5</t>
  </si>
  <si>
    <t>ELE-CAB-035.7</t>
  </si>
  <si>
    <t>CABO DE COBRE ISOLAMENTO ANTI-CHAMAS , SEÇÃO 25MM², 450/750V, FLEXÍVEL /VERDE-AMARELO</t>
  </si>
  <si>
    <t>5.1.6</t>
  </si>
  <si>
    <t>ELE-CAB-030.7</t>
  </si>
  <si>
    <t>CABO DE COBRE ISOLAMENTO ANTI-CHAMAS , SEÇÃO 16MM², 450/750V, FLEXÍVEL /VERDE-AMARELO</t>
  </si>
  <si>
    <t>5.1.7</t>
  </si>
  <si>
    <t>ELE-CAB-020.2</t>
  </si>
  <si>
    <t>CABO DE COBRE ISOLAMENTO ANTI-CHAMAS , SEÇÃO 6MM², 450/750V, FLEXÍVEL (PRETO)</t>
  </si>
  <si>
    <t>5.1.8</t>
  </si>
  <si>
    <t>ELE-CAB-020.5</t>
  </si>
  <si>
    <t>CABO DE COBRE ISOLAMENTO ANTI-CHAMAS , SEÇÃO 6MM², 450/750V, FLEXÍVEL (AZUL)</t>
  </si>
  <si>
    <t>5.1.9</t>
  </si>
  <si>
    <t>ELE-CAB-015.6</t>
  </si>
  <si>
    <t>CABO DE COBRE ISOLAMENTO ANTI-CHAMAS , SEÇÃO 4MM², 450/750V, FLEXÍVEL (VERDE)</t>
  </si>
  <si>
    <t>5.1.10</t>
  </si>
  <si>
    <t>ELE-CAB-020.6</t>
  </si>
  <si>
    <t>CABO DE COBRE ISOLAMENTO ANTI-CHAMAS , SEÇÃO 6MM², 450/750V, FLEXÍVEL (VERDE)</t>
  </si>
  <si>
    <t>5.1.11</t>
  </si>
  <si>
    <t>ELE-DIS-083</t>
  </si>
  <si>
    <t>DISJUNTOR TRIPOLAR TERMOMAGNÉTICO 5KA, DE 60A</t>
  </si>
  <si>
    <t>5.1.12</t>
  </si>
  <si>
    <t>ELE-DIS-060</t>
  </si>
  <si>
    <t>DISJUNTOR BIPOLAR TERMOMAGNÉTICO 5KA, DE 10A</t>
  </si>
  <si>
    <t>5.1.13</t>
  </si>
  <si>
    <t>ELE-DIS-061</t>
  </si>
  <si>
    <t>DISJUNTOR BIPOLAR TERMOMAGNÉTICO 5KA, DE 15A</t>
  </si>
  <si>
    <t>5.1.14</t>
  </si>
  <si>
    <t>ELE-CXS-370</t>
  </si>
  <si>
    <t xml:space="preserve">CAIXA DE PASSAGEM 15X15CM EM CHAPA DE FERRO COM TAMPA CEGA </t>
  </si>
  <si>
    <t>5.1.15</t>
  </si>
  <si>
    <t>ELE-ATE-005</t>
  </si>
  <si>
    <t>ATERRAMENTO COMPLETO, COM HASTES COPPERWLD 5/8'' X 2,40M</t>
  </si>
  <si>
    <t>5.1.16</t>
  </si>
  <si>
    <t>ELE-COR-005</t>
  </si>
  <si>
    <t xml:space="preserve">CABO COBRE NU # 6 MM² INCLUSIVE SUPORTE </t>
  </si>
  <si>
    <t>5.1.17</t>
  </si>
  <si>
    <t>SPDA-TER-045</t>
  </si>
  <si>
    <t>TERMINAL A COMPRESSÃO EM COBRE ESTANHADO PARA CABO 35MM²</t>
  </si>
  <si>
    <t>5.1.18</t>
  </si>
  <si>
    <t>ELE-LAM-057</t>
  </si>
  <si>
    <t>LÂMPADA MISTA DE 160W/220V</t>
  </si>
  <si>
    <t>5.1.19</t>
  </si>
  <si>
    <t>RELE FOTOLÉTRICO RM 10 120V, 1200VA COM BASE</t>
  </si>
  <si>
    <t>5.1.20</t>
  </si>
  <si>
    <t>ELE-POS-005</t>
  </si>
  <si>
    <t>POSTE DE AÇO GALVANIZADO A FOGO H-3,00 M , FIXAÇÃO POR BASE COM CHUMBADOR - COM DIFUSOR EM VIDRO  V-01 PARA LÂMPADA MISTA DE 160W</t>
  </si>
  <si>
    <t>PISOS</t>
  </si>
  <si>
    <t>6.1</t>
  </si>
  <si>
    <t xml:space="preserve">ÁREA DE LAZER </t>
  </si>
  <si>
    <t>6.1.1</t>
  </si>
  <si>
    <t>EXECUÇÃO DE CALÇAMENTO EM BLOQUETE -E=6CM, FCK=25MPA, INCLUINDO FORNECIMENTO E TRANSPORTE DE TODOS OS MATERIAIS, COLCHÃO DE ASSENTAMENTO E= 6CM</t>
  </si>
  <si>
    <t>6.1.2</t>
  </si>
  <si>
    <t>PIS-CER-005</t>
  </si>
  <si>
    <t xml:space="preserve">PISO CERÂMICO VERMELHO NATURAL 24X5,2 CM, ASSENTADO COM ARGAMASSA PRÉ-FABRICADA, INCUSIVE REJUNTAMENTO </t>
  </si>
  <si>
    <t>7.1</t>
  </si>
  <si>
    <t>ÁREA DE LAZER</t>
  </si>
  <si>
    <t>7.1.1</t>
  </si>
  <si>
    <t>ALV-BLO-010</t>
  </si>
  <si>
    <t xml:space="preserve">ALVENARIA DE BLOCO DE CONCRETO E= 15CM A REVESTIR , VEDAÇÃO </t>
  </si>
  <si>
    <t>7.1.2</t>
  </si>
  <si>
    <t>SEE-EST-045</t>
  </si>
  <si>
    <t>VIGA DE 0,21 A 0,35M DE LARGURA EM CONCRETO 20MPA, APARENTE, AFIRMAÇÃO, FORMA PLASTIFICADA, ESCORAMENTO DE DESFORMA</t>
  </si>
  <si>
    <t>M³</t>
  </si>
  <si>
    <t>7.1.3</t>
  </si>
  <si>
    <t>TER-ATE-015</t>
  </si>
  <si>
    <t xml:space="preserve">ATERRO COMPACTO MANUAL, COM SOQUETE </t>
  </si>
  <si>
    <t>7.1.4</t>
  </si>
  <si>
    <t>REV-CHA-005</t>
  </si>
  <si>
    <t xml:space="preserve">CHAPISCO DE PAREDES COM ARGAMASSA 1:3 CIMENTO E AREIA , A COLHER </t>
  </si>
  <si>
    <t>7.1.5</t>
  </si>
  <si>
    <t>REV-REB-010</t>
  </si>
  <si>
    <t xml:space="preserve">REBOCO COM ARGAMASSA 1:2:9 CIMENTO , CAL E AREIA COM ADITIVO IMPERMEABILIZANTE </t>
  </si>
  <si>
    <t>7.1.6</t>
  </si>
  <si>
    <t>7.1.7</t>
  </si>
  <si>
    <t>PINTURA ACRÍLICA, EM PAREDES, 2 DEMÃOS SEM MASSA CORRIDA, INCUSIVE FUNDO SELADOR</t>
  </si>
  <si>
    <t>7.1.8</t>
  </si>
  <si>
    <t>PIS-CIM-035</t>
  </si>
  <si>
    <t>PISO CIMENTADO DESEMPENADO E FELTRADO, ARGAMASSA 1:3, JUNTAS PL 17X30 E= 5CM, COM JUNTA DE 1X1M</t>
  </si>
  <si>
    <t>7.1.9</t>
  </si>
  <si>
    <t>SEE-EST-010</t>
  </si>
  <si>
    <t xml:space="preserve">PILARETE DE CONCRETO 17X20CM , CONCRETO 20MPA , APARENTE NA FACE EXTERNA, INCLUSIVE FORMA E AÇO, EM GUARDA-CORPO NAS CIRCULAÇÕES </t>
  </si>
  <si>
    <t>7.1.10</t>
  </si>
  <si>
    <t>SER-COR-015</t>
  </si>
  <si>
    <t>GUARDA-CORPO EM TUBO GALVANIZADO DIN 2440 D=2'', COM SUBDIVISÕES EM TUBO DE AÇO D= 1/2'', H=1,05M</t>
  </si>
  <si>
    <t>MEDIDO</t>
  </si>
  <si>
    <t>FALTA</t>
  </si>
  <si>
    <t>TOTAL DISPONÍVEL PARA TÉRMINA DA OBRA</t>
  </si>
  <si>
    <t>Eng. Civil Adenise de Sousa Martins</t>
  </si>
  <si>
    <t>UN</t>
  </si>
  <si>
    <t>H</t>
  </si>
  <si>
    <t>OBRA: Construção do CEMEI Pedacinho do Céu</t>
  </si>
  <si>
    <t>SERVIÇOS PRELIMINARES</t>
  </si>
  <si>
    <t>KG</t>
  </si>
  <si>
    <t>1.3</t>
  </si>
  <si>
    <t>ADMINISTRAÇÃO LOCAL E MOBILIZAÇÃO E DESMOBILIZAÇÃO</t>
  </si>
  <si>
    <t>%</t>
  </si>
  <si>
    <t>ALVENARIAS E DIVISÓRIAS</t>
  </si>
  <si>
    <t>ESQUADRIAS</t>
  </si>
  <si>
    <t>ED-50956</t>
  </si>
  <si>
    <t>FORNECIMENTO E ASSENTAMENTO DE JANELA EM FERRO, TIPO MAXIM-AR, INCLUSIVE FERRAGENS E ACESSÓRIOS</t>
  </si>
  <si>
    <t>ED-51155</t>
  </si>
  <si>
    <t>VIDRO COMUM LISO INCOLOR, ESP. 3MM, INCLUSIVE FIXAÇÃO E VEDAÇÃO COM GUARNIÇÃO/GAXETA DE BORRACHA NEOPRENE, FORNECIMENTO E INSTALAÇÃO, EXCLUSIVE CAIXILHO/PERFIL</t>
  </si>
  <si>
    <t>ED-50794</t>
  </si>
  <si>
    <t>PORTA DE ABRIR, 01 FOLHA, EM CHAPA 14 SAE 1020 - PADRÃO SEDS</t>
  </si>
  <si>
    <t>COBERTURA</t>
  </si>
  <si>
    <t>92539</t>
  </si>
  <si>
    <t>TRAMA DE MADEIRA COMPOSTA POR RIPAS, CAIBROS E TERÇAS PARA TELHADOS DE ATÉ 2 ÁGUAS PARA TELHA DE ENCAIXE DE CERÂMICA OU DE CONCRETO, INCLUSO TRANSPORTE VERTICAL. AF_07/2019</t>
  </si>
  <si>
    <t>94195</t>
  </si>
  <si>
    <t>TELHAMENTO COM TELHA CERÂMICA DE ENCAIXE, TIPO PORTUGUESA, COM ATÉ 2 ÁGUAS, INCLUSO TRANSPORTE VERTICAL. AF_07/2019</t>
  </si>
  <si>
    <t>94221</t>
  </si>
  <si>
    <t>CUMEEIRA PARA TELHA CERÂMICA EMBOÇADA COM ARGAMASSA TRAÇO 1:2:9 (CIMENTO, CAL E AREIA) PARA TELHADOS COM ATÉ 2 ÁGUAS, INCLUSO TRANSPORTE VERTICAL. AF_07/2019</t>
  </si>
  <si>
    <t>6.2</t>
  </si>
  <si>
    <t>6.3</t>
  </si>
  <si>
    <t>5.2</t>
  </si>
  <si>
    <t>5.3</t>
  </si>
  <si>
    <t>7.2</t>
  </si>
  <si>
    <t>7.4</t>
  </si>
  <si>
    <t xml:space="preserve">REVESTIMENTOS </t>
  </si>
  <si>
    <t>87893</t>
  </si>
  <si>
    <t>CHAPISCO APLICADO EM ALVENARIA (SEM PRESENÇA DE VÃOS) E ESTRUTURAS DE CONCRETO DE FACHADA, COM COLHER DE PEDREIRO. ARGAMASSA TRAÇO 1:3 COM PREPARO MANUAL. AF_06/2014</t>
  </si>
  <si>
    <t>87792</t>
  </si>
  <si>
    <t>EMBOÇO OU MASSA ÚNICA EM ARGAMASSA TRAÇO 1:2:8, PREPARO MECÂNICO COM BETONEIRA 400 L, APLICADA MANUALMENTE EM PANOS CEGOS DE FACHADA (SEM PRESENÇA DE VÃOS), ESPESSURA DE 25 MM. AF_06/2014</t>
  </si>
  <si>
    <t>ED-9081</t>
  </si>
  <si>
    <t>REVESTIMENTO COM CERÂMICA APLICADO EM PAREDE, ACABAMENTO ESMALTADO, AMBIENTE INTERNO/EXTERNO, PADRÃO EXTRA, DIMENSÃO DA PEÇA DE 40X40 CM, PEI III, ASSENTAMENTO COM ARGAMASSA INDUSTRIALIZADA, INCLUSIVE REJUNTAMENTO</t>
  </si>
  <si>
    <t>8.2</t>
  </si>
  <si>
    <t>8.8</t>
  </si>
  <si>
    <t>PAVIMENTAÇÃO INTERNA</t>
  </si>
  <si>
    <t>9.1</t>
  </si>
  <si>
    <t>95241</t>
  </si>
  <si>
    <t>ED-50566</t>
  </si>
  <si>
    <t>CONTRAPISO DESEMPENADO COM ARGAMASSA, TRAÇO 1:3 (CIMENTO E AREIA), ESP. 20MM</t>
  </si>
  <si>
    <t>101752</t>
  </si>
  <si>
    <t>PISO EM GRANILITE, MARMORITE OU GRANITINA EM AMBIENTES INTERNOS. AF_09/2020 - EXCETO: SANITÁRIOS, FRALDÁRIO, LAVANDERIA, RECEPÇÃO, HALL E COZINHA</t>
  </si>
  <si>
    <t>101741</t>
  </si>
  <si>
    <t>RODAPÉ EM MARMORITE, ALTURA 10CM. AF_09/2020</t>
  </si>
  <si>
    <t>9.2</t>
  </si>
  <si>
    <t>PAVIMENTAÇÃO EXTERNA</t>
  </si>
  <si>
    <t>5.4</t>
  </si>
  <si>
    <t>102185</t>
  </si>
  <si>
    <t>PORTA DE ABRIR COM MOLA HIDRÁULICA, EM VIDRO TEMPERADO, 2 FOLHAS DE 90X210 CM, ESPESSURA DD 10MM, INCLUSIVE ACESSÓRIOS. AF_01/2021 - PORTA DE 180X210 CM</t>
  </si>
  <si>
    <t>6.4</t>
  </si>
  <si>
    <t>ED-50982</t>
  </si>
  <si>
    <t>PORTÃO DE FERRO PADRÃO, EM CHAPA (TIPO LAMBRI), COLOCADO COM CADEADO</t>
  </si>
  <si>
    <t>LASTRO DE CONCRETO MAGRO, APLICADO EM PISOS, LAJES SOBRE SOLO OU RADIERS, ESPESSURA DE 5 CM. AF_07/2016 - RAMPAS E PASSEIO</t>
  </si>
  <si>
    <t>92397</t>
  </si>
  <si>
    <t>EXECUÇÃO DE PÁTIO/ESTACIONAMENTO EM PISO INTERTRAVADO, COM BLOCO RETANGULAR COR NATURAL DE 20 X 10 CM, ESPESSURA 6 CM. AF_12/2015</t>
  </si>
  <si>
    <t>98504</t>
  </si>
  <si>
    <t>PLANTIO DE GRAMA EM PLACAS. AF_05/2018</t>
  </si>
  <si>
    <t>PINTURA</t>
  </si>
  <si>
    <t>10.1</t>
  </si>
  <si>
    <t>10.2</t>
  </si>
  <si>
    <t>88495</t>
  </si>
  <si>
    <t>APLICAÇÃO E LIXAMENTO DE MASSA LÁTEX EM PAREDES, UMA DEMÃO. AF_06/2014 - PAREDES INTERNAS</t>
  </si>
  <si>
    <t>88415</t>
  </si>
  <si>
    <t>ED-50473</t>
  </si>
  <si>
    <t>EMASSAMENTO EM PAREDE COM MASSA ACRÍLICA, UMA (1) DEMÃO, INCLUSIVE LIXAMENTO PARA PINTURA - PAREDES EXTERNAS</t>
  </si>
  <si>
    <t>ED-50479</t>
  </si>
  <si>
    <t>EMASSAMENTO EM TETO COM MASSA CORRIDA (PVA), UMA (1) DEMÃO, INCLUSIVE LIXAMENTO PARA PINTURA</t>
  </si>
  <si>
    <t>ED-50451</t>
  </si>
  <si>
    <t>PINTURA ACRÍLICA EM PAREDE, DUAS (2) DEMÃOS, EXCLUSIVE SELADOR ACRÍLICO E MASSA ACRÍLICA/CORRIDA (PVA)</t>
  </si>
  <si>
    <t>ED-50491</t>
  </si>
  <si>
    <t>PINTURA ESMALTE EM ESQUADRIAS DE FERRO, DUAS (2) DEMÃOS, INCLUSIVE UMA (1) DEMÃO DE FUNDO ANTICORROSIVO</t>
  </si>
  <si>
    <t>ED-9934</t>
  </si>
  <si>
    <t>PINTURA EPÓXI EM PISO, DUAS (2) DEMÃOS, INCLUSIVE UMA (1) DEMÃO DE PRIMER EPÓXI</t>
  </si>
  <si>
    <t>86888</t>
  </si>
  <si>
    <t>VASO SANITÁRIO SIFONADO COM CAIXA ACOPLADA LOUÇA BRANCA - FORNECIMENTO E INSTALAÇÃO. AF_01/2020</t>
  </si>
  <si>
    <t>ED-50299</t>
  </si>
  <si>
    <t>BACIA SANITÁRIA (VASO) DE LOUÇA CONVENCIONAL INFANTIL, COR BRANCA, INCLUSIVE ACESSÓRIOS DE FIXAÇÃO/VEDAÇÃO, VÁLVULA DE DESCARGA METÁLICA COM ACIONAMENTO DUPLO, TUBO DE LIGAÇÃO DE LATÃO COM CANOPLA, FORNECIMENTO, INSTALAÇÃO E REJUNTAMENTO</t>
  </si>
  <si>
    <t>ED-50298</t>
  </si>
  <si>
    <t>BACIA SANITÁRIA (VASO) DE LOUÇA CONVENCIONAL, COR BRANCA, INCLUSIVE ACESSÓRIOS DE FIXAÇÃO/VEDAÇÃO, VÁLVULA DE DESCARGA METÁLICA COM ACIONAMENTO DUPLO, TUBO DE LIGAÇÃO DE LATÃO COM CANOPLA, FORNECIMENTO, INSTALAÇÃO E REJUNTAMENTO</t>
  </si>
  <si>
    <t>102179</t>
  </si>
  <si>
    <t>INSTALAÇÃO DE VIDRO TEMPERADO, E = 6 MM, ENCAIXADO EM PERFIL U. AF_01/2021_P</t>
  </si>
  <si>
    <t>86901</t>
  </si>
  <si>
    <t>CUBA DE EMBUTIR OVAL EM LOUÇA BRANCA, 35 X 50CM OU EQUIVALENTE - FORNECIMENTO E INSTALAÇÃO. AF_01/2020</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</si>
  <si>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</si>
  <si>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ED-2552</t>
  </si>
  <si>
    <t>LOUÇAS, BANCADAS, ACESSÓRIOS E METAIS</t>
  </si>
  <si>
    <t>ED-50287</t>
  </si>
  <si>
    <t>CUBA EM AÇO INOXIDÁVEL DE EMBUTIR, AISI 304, APLICAÇÃO PARA TANQUE (600X600X400MM), ASSENTAMENTO EM BANCADA, INCLUSIVE VÁLVULA DE ESCOAMENTO DE METAL COM ACABAMENTO CROMADO, SIFÃO DE METAL TIPO COPO COM ACABAMENTO CROMADO, FORNECIMENTO E INSTALAÇÃO</t>
  </si>
  <si>
    <t>100852</t>
  </si>
  <si>
    <t>CUBA DE EMBUTIR RETANGULAR DE AÇO INOXIDÁVEL, 56 X 33 X 12 CM - FORNECIMENTO E INSTALAÇÃO. AF_01/2020</t>
  </si>
  <si>
    <t>ED-9156</t>
  </si>
  <si>
    <t>TANQUE DE MÁRMORE SINTÉTICO DUPLO, CAPACIDADE 37 LITROS, INCLUSIVE ACESSÓRIOS DE FIXAÇÃO, VÁLVULA DE ESCOAMENTO DE METAL COM ACABAMENTO CROMADO, SIFÃO DE METAL TIPO COPO COM ACABAMENTO CROMADO, FORNECIMENTO E INSTALAÇÃO, EXCLUSIVE TORNEIRA</t>
  </si>
  <si>
    <t>86874</t>
  </si>
  <si>
    <t>100860</t>
  </si>
  <si>
    <t>CHUVEIRO ELÉTRICO COMUM CORPO PLÁSTICO, TIPO DUCHA FORNECIMENTO E INSTALAÇÃO. AF_01/2020</t>
  </si>
  <si>
    <t>ED-50323</t>
  </si>
  <si>
    <t>TORNEIRA METÁLICA PARA IRRIGAÇÃO/JARDIM, ACABAMENTO CROMADO, APLICAÇÃO DE PAREDE, INCLUSIVE FORNECIMENTO E INSTALAÇÃO</t>
  </si>
  <si>
    <t>86906</t>
  </si>
  <si>
    <t>TORNEIRA CROMADA DE MESA, 1/2 OU 3/4, PARA LAVATÓRIO, PADRÃO POPULAR - FORNECIMENTO E INSTALAÇÃO. AF_01/2020</t>
  </si>
  <si>
    <t>ED-50329</t>
  </si>
  <si>
    <t>TORNEIRA METÁLICA PARA LAVATÓRIO, FECHAMENTO AUTOMÁTICO, ACABAMENTO CROMADO, COM AREJADOR, APLICAÇÃO DE MESA, INCLUSIVE ENGATE FLEXÍVEL METÁLICO, FORNECIMENTO E INSTALAÇÃO</t>
  </si>
  <si>
    <t>ED-50325</t>
  </si>
  <si>
    <t>TORNEIRA METÁLICA PARA PIA, BICA MÓVEL, ACABAMENTO CROMADO, COM AREJADOR, APLICAÇÃO DE PAREDE, INCLUSIVE FORNECIMENTO E INSTALAÇÃO</t>
  </si>
  <si>
    <t>ED-50331</t>
  </si>
  <si>
    <t>TORNEIRA METÁLICA PARA TANQUE, ACABAMENTO CROMADO, INCLUSIVE ENGATE FLEXÍVEL METÁLICO, FORNECIMENTO E INSTALAÇÃO</t>
  </si>
  <si>
    <t>100871</t>
  </si>
  <si>
    <t>BARRA DE APOIO RETA, EM ALUMINIO, COMPRIMENTO 70 CM, FIXADA NA PAREDE - FORNECIMENTO E INSTALAÇÃO. AF_01/2020</t>
  </si>
  <si>
    <t>100872</t>
  </si>
  <si>
    <t>BARRA DE APOIO RETA, EM ALUMINIO, COMPRIMENTO 80 CM, FIXADA NA PAREDE - FORNECIMENTO E INSTALAÇÃO. AF_01/2020</t>
  </si>
  <si>
    <t>100874</t>
  </si>
  <si>
    <t>PUXADOR PARA PCD, FIXADO NA PORTA - FORNECIMENTO E INSTALAÇÃO. AF_01/2020</t>
  </si>
  <si>
    <t>ED-48163</t>
  </si>
  <si>
    <t>BARRA DE APOIO EM AÇO INOX POLIDO RETA, DN 1.1/4" (31,75MM), PARA ACESSIBILIDADE (PMR/PCR), COMPRIMENTO 40CM, INSTALADO EM PORTA/PAREDE, INCLUSIVE FORNECIMENTO, INSTALAÇÃO E ACESSÓRIOS PARA FIXAÇÃO</t>
  </si>
  <si>
    <t>ED-48339</t>
  </si>
  <si>
    <t>BANCADA EM ARDÓSIA E = 3 CM, L = 55 CM, APOIADA EM CONSOLE DE METALON</t>
  </si>
  <si>
    <t>ED-48342</t>
  </si>
  <si>
    <t>39210</t>
  </si>
  <si>
    <t>ARRUELA EM ALUMINIO, COM ROSCA, DE 1", PARA ELETRODUTO</t>
  </si>
  <si>
    <t>39207</t>
  </si>
  <si>
    <t>ARRUELA EM ALUMINIO, COM ROSCA, DE 3/8", PARA ELETRODUTO</t>
  </si>
  <si>
    <t>39176</t>
  </si>
  <si>
    <t>BUCHA EM ALUMINIO, COM ROSCA, DE 1", PARA ELETRODUTO</t>
  </si>
  <si>
    <t>39175</t>
  </si>
  <si>
    <t>BUCHA EM ALUMINIO, COM ROSCA, DE 3/4", PARA ELETRODUTO</t>
  </si>
  <si>
    <t>1880</t>
  </si>
  <si>
    <t>CURVA 135 GRAUS, DE PVC RIGIDO ROSCAVEL, DE 1", PARA ELETRODUTO</t>
  </si>
  <si>
    <t>404</t>
  </si>
  <si>
    <t>FITA ISOLANTE DE BORRACHA AUTOFUSAO, USO ATE 69 KV (ALTA TENSAO)</t>
  </si>
  <si>
    <t>ED-48161</t>
  </si>
  <si>
    <t>100870</t>
  </si>
  <si>
    <t>BARRA DE APOIO RETA, EM ALUMINIO, COMPRIMENTO 60 CM, FIXADA NA PAREDE - FORNECIMENTO E INSTALAÇÃO. AF_01/2020 - CHUVEIRO FRALDÁRIO</t>
  </si>
  <si>
    <t>BARRA DE APOIO EM AÇO INOX POLIDO RETA, DN 1.1/4" (31,75MM), PARA ACESSIBILIDADE (PMR/PCR), COMPRIMENTO 100CM, INSTALADO EM PAREDE, INCLUSIVE FORNECIMENTO, INSTALAÇÃO E ACESSÓRIOS PARA FIXAÇÃO - CHUVEIRO SANITÁRIOS INFANTIS</t>
  </si>
  <si>
    <t>ACESSÓRIOS PARA ELETRODUTOS</t>
  </si>
  <si>
    <t>ACESSÓRIOS USO GERAL</t>
  </si>
  <si>
    <t>CABO UNIPOLAR (COBRE)</t>
  </si>
  <si>
    <t>DISPOSITIVO ELÉTRICO - EMBUTIDO</t>
  </si>
  <si>
    <t>ED-15748</t>
  </si>
  <si>
    <t>CONJUNTO DE UMA (1) TOMADA PADRÃO, TRÊS (3) POLOS, CORRENTE 10A, TENSÃO 250V, (2P+T/10A-250V), COM PLACA 4"X2" DE UM (1) POSTO, INCLUSIVE FORNECIMENTO, INSTALAÇÃO, SUPORTE, MÓDULO E PLACA</t>
  </si>
  <si>
    <t>91967</t>
  </si>
  <si>
    <t>INTERRUPTOR SIMPLES (3 MÓDULOS), 10A/250V, INCLUINDO SUPORTE E PLACA - FORNECIMENTO E INSTALAÇÃO. AF_12/2015</t>
  </si>
  <si>
    <t>91959</t>
  </si>
  <si>
    <t>INTERRUPTOR SIMPLES (2 MÓDULOS), 10A/250V, INCLUINDO SUPORTE E PLACA - FORNECIMENTO E INSTALAÇÃO. AF_12/2015</t>
  </si>
  <si>
    <t>91955</t>
  </si>
  <si>
    <t>INTERRUPTOR PARALELO (1 MÓDULO), 10A/250V, INCLUINDO SUPORTE E PLACA - FORNECIMENTO E INSTALAÇÃO. AF_12/2015</t>
  </si>
  <si>
    <t>91953</t>
  </si>
  <si>
    <t>INTERRUPTOR SIMPLES (1 MÓDULO), 10A/250V, INCLUINDO SUPORTE E PLACA - FORNECIMENTO E INSTALAÇÃO. AF_12/2015</t>
  </si>
  <si>
    <t>DISPOSITIVO DE PROTEÇÃO</t>
  </si>
  <si>
    <t>93653</t>
  </si>
  <si>
    <t>DISJUNTOR MONOPOLAR TIPO DIN, CORRENTE NOMINAL DE 10A - FORNECIMENTO E INSTALAÇÃO. AF_10/2020</t>
  </si>
  <si>
    <t>93654</t>
  </si>
  <si>
    <t>DISJUNTOR MONOPOLAR TIPO DIN, CORRENTE NOMINAL DE 16A - FORNECIMENTO E INSTALAÇÃO. AF_10/2020</t>
  </si>
  <si>
    <t>ELETROCALHA PERFURADA</t>
  </si>
  <si>
    <t>ED-19519</t>
  </si>
  <si>
    <t>ELETROCALHA PERFURADA (100X50)MM EM CHAPA DE AÇO GALVANIZADO #18, COM TRATAMENTO PRÉ-ZINCADO, INCLUSIVE TAMPA DE ENCAIXE, FIXAÇÃO SUPERIOR, CONEXÕES E ACESSÓRIOS</t>
  </si>
  <si>
    <t>ELETRODUTO</t>
  </si>
  <si>
    <t>91871</t>
  </si>
  <si>
    <t>ELETRODUTO RÍGIDO ROSCÁVEL, PVC, DN 25 MM (3/4"), PARA CIRCUITOS TERMINAIS, INSTALADO EM PAREDE - FORNECIMENTO E INSTALAÇÃO. AF_12/2015</t>
  </si>
  <si>
    <t>92550</t>
  </si>
  <si>
    <t>FABRICAÇÃO E INSTALAÇÃO DE TESOURA INTEIRA EM MADEIRA NÃO APARELHADA, VÃO DE 8 M, PARA TELHA CERÂMICA OU DE CONCRETO, INCLUSO IÇAMENTO. AF_07/2019</t>
  </si>
  <si>
    <t>91872</t>
  </si>
  <si>
    <t>ELETRODUTO RÍGIDO ROSCÁVEL, PVC, DN 32 MM (1"), PARA CIRCUITOS TERMINAIS, INSTALADO EM PAREDE - FORNECIMENTO E INSTALAÇÃO. AF_12/2015</t>
  </si>
  <si>
    <t>93008</t>
  </si>
  <si>
    <t>ELETRODUTO RÍGIDO ROSCÁVEL, PVC, DN 50 MM (1 1/2") - FORNECIMENTO E INSTALAÇÃO. AF_12/2015</t>
  </si>
  <si>
    <t>ED-13346</t>
  </si>
  <si>
    <t>LUMINÁRIA ARANDELA TIPO MEIA-LUA COMPLETA, DIÂMETRO 25 CM, PARA UMA (1) LÂMPADA LED, POTÊNCIA 20W, BULBO A70, FORNECIMENTO E INSTALAÇÃO, INCLUSIVE BASE E LÂMPADA</t>
  </si>
  <si>
    <t>LUMINÁRIAS E ACESSÓRIOS</t>
  </si>
  <si>
    <t>97585</t>
  </si>
  <si>
    <t>LUMINÁRIA TIPO CALHA, DE SOBREPOR, COM 2 LÂMPADAS TUBULARES FLUORESCENTES DE 18 W, COM REATOR DE PARTIDA RÁPIDA - FORNECIMENTO E INSTALAÇÃO. AF_02/2020</t>
  </si>
  <si>
    <t>ED-13357</t>
  </si>
  <si>
    <t>LUMINÁRIA PLAFON REDONDO DE VIDRO JATEADO REDONDO COMPLETA, DIÂMETRO 25 CM, PARA UMA (1) LÂMPADA LED, POTÊNCIA 15W, BULBO A65, FORNECIMENTO E INSTALAÇÃO, INCLUSIVE BASE E LÂMPADA</t>
  </si>
  <si>
    <t>ENTRADA DE SERVIÇO</t>
  </si>
  <si>
    <t>1169</t>
  </si>
  <si>
    <t>CAP OU TAMPAO DE FERRO GALVANIZADO, COM ROSCA BSP, DE 2 1/2"</t>
  </si>
  <si>
    <t>ED-49001</t>
  </si>
  <si>
    <t>CABO DE COBRE FLEXÍVEL, CLASSE 5, ISOLAMENTO TIPO EPR/HEPR, NÃO HALOGENADO, ANTICHAMA, TERMOFIXO, UNIPOLAR, SEÇÃO 16 MM2, 90°C, 0,6/1KV</t>
  </si>
  <si>
    <t>ED-49004</t>
  </si>
  <si>
    <t>CABO DE COBRE FLEXÍVEL, CLASSE 5, ISOLAMENTO TIPO EPR/HEPR, NÃO HALOGENADO, ANTICHAMA, TERMOFIXO, UNIPOLAR, SEÇÃO 25 MM2, 90°C, 0,6/1KV</t>
  </si>
  <si>
    <t>ED-49010</t>
  </si>
  <si>
    <t>CABO DE COBRE FLEXÍVEL, CLASSE 5, ISOLAMENTO TIPO EPR/HEPR, NÃO HALOGENADO, ANTICHAMA, TERMOFIXO, UNIPOLAR, SEÇÃO 50 MM2, 90°C, 0,6/1KV</t>
  </si>
  <si>
    <t>91928</t>
  </si>
  <si>
    <t>CABO DE COBRE FLEXÍVEL ISOLADO, 4 MM², ANTI-CHAMA 450/750 V, PARA CIRCUITOS TERMINAIS - FORNECIMENTO E INSTALAÇÃO. AF_12/2015</t>
  </si>
  <si>
    <t>91930</t>
  </si>
  <si>
    <t>CABO DE COBRE FLEXÍVEL ISOLADO, 6 MM², ANTI-CHAMA 450/750 V, PARA CIRCUITOS TERMINAIS - FORNECIMENTO E INSTALAÇÃO. AF_12/2015</t>
  </si>
  <si>
    <t>91935</t>
  </si>
  <si>
    <t>CABO DE COBRE FLEXÍVEL ISOLADO, 16 MM², ANTI-CHAMA 0,6/1,0 KV, PARA CIRCUITOS TERMINAIS - FORNECIMENTO E INSTALAÇÃO. AF_12/2015</t>
  </si>
  <si>
    <t>ED-15764</t>
  </si>
  <si>
    <t>CONJUNTO DE UMA (1) PLACA CEGA 4"X2", INCLUSIVE FORNECIMENTO, INSTALAÇÃO, SUPORTE E PLACA</t>
  </si>
  <si>
    <t>93663</t>
  </si>
  <si>
    <t>DISJUNTOR BIPOLAR TIPO DIN, CORRENTE NOMINAL DE 25A - FORNECIMENTO E I UNNSTALAÇÃO. AF_10/2020</t>
  </si>
  <si>
    <t>ED-49267</t>
  </si>
  <si>
    <t>DISJUNTOR TRIPOLAR TERMOMAGNÉTICO 10KA, DE 175A</t>
  </si>
  <si>
    <t>39472</t>
  </si>
  <si>
    <t>DISPOSITIVO DPS CLASSE II, 1 POLO, TENSAO MAXIMA DE 275 V, CORRENTE MAXIMA DE *90*KA (TIPO AC)</t>
  </si>
  <si>
    <t>97667</t>
  </si>
  <si>
    <t>ELETRODUTO FLEXÍVEL CORRUGADO, PEAD, DN 50 (1 ½) - FORNECIMENTO E INSTALAÇÃO. AF_04/2016</t>
  </si>
  <si>
    <t>ED-20581</t>
  </si>
  <si>
    <t>ENTRADA DE ENERGIA AÉREA, TIPO C1, PADRÃO CEMIG, CARGA INSTALADA DE ATÉ 15KVA, TRIFÁSICO, COM SAÍDA SUBTERRÂNEA, INCLUSIVE POSTE, CAIXA PARA MEDIDOR, DISJUNTOR, BARRAMENTO, ATERRAMENTO E ACESSÓRIOS</t>
  </si>
  <si>
    <t>101880</t>
  </si>
  <si>
    <t>QUADRO DE DISTRIBUIÇÃO DE ENERGIA EM CHAPA DE AÇO GALVANIZADO, DE EMBUTIR, COM BARRAMENTO TRIFÁSICO, PARA 30 DISJUNTORES DIN 150A - FORNECIM
ENTO E INSTALAÇÃO. AF_10/2020</t>
  </si>
  <si>
    <t xml:space="preserve">PAVIMENTAÇÃO </t>
  </si>
  <si>
    <t>CORTE, DOBRA E MONTAGEM DE AÇO CA-60 DIÂMETRO (4,2MM A 5,0MM)</t>
  </si>
  <si>
    <t xml:space="preserve">ED-48297 </t>
  </si>
  <si>
    <t>CORTE, DOBRA E MONTAGEM DE AÇO CA-50 DIÂMETRO (6,3MM A12,5MM)</t>
  </si>
  <si>
    <t xml:space="preserve">ED-48295 </t>
  </si>
  <si>
    <t>ED-51107</t>
  </si>
  <si>
    <t>ESCAVAÇÃO MANUAL DE VALAS H &lt;= 1,50 M</t>
  </si>
  <si>
    <t>FORNECIMENTO DE CONCRETO ESTRUTURAL, USINADO
BOMBEADO, COM FCK 25 MPA, INCLUSIVE LANÇAMENTO,
ADENSAMENTO E ACABAMENTO</t>
  </si>
  <si>
    <t>ED-49638</t>
  </si>
  <si>
    <t>ENGENHEIRO CIVIL DE OBRA JUNIOR COM ENCARGOS COMPLEMENTARES</t>
  </si>
  <si>
    <t>ENCARREGADO GERAL COM ENCARGOS COMPLEMENTARES</t>
  </si>
  <si>
    <t>TANQUE DE LOUÇA BRANCA SUSPENSO, 18L OU EQUIVALENTE - FORNECIMENTO E INSTALAÇÃO. AF_01/2020</t>
  </si>
  <si>
    <t>11.1</t>
  </si>
  <si>
    <t>ED-49647</t>
  </si>
  <si>
    <t>11.2</t>
  </si>
  <si>
    <t>3.5</t>
  </si>
  <si>
    <t>3.6</t>
  </si>
  <si>
    <t>3.7</t>
  </si>
  <si>
    <t>5.5</t>
  </si>
  <si>
    <t>5.6</t>
  </si>
  <si>
    <t>5.7</t>
  </si>
  <si>
    <t>COTAÇÃO</t>
  </si>
  <si>
    <t>4.2</t>
  </si>
  <si>
    <t>4.3</t>
  </si>
  <si>
    <t>4.4</t>
  </si>
  <si>
    <t>8.1.1</t>
  </si>
  <si>
    <t>8.1.2</t>
  </si>
  <si>
    <t>8.1.3</t>
  </si>
  <si>
    <t>8.1.4</t>
  </si>
  <si>
    <t>8.2.1</t>
  </si>
  <si>
    <t>8.2.2</t>
  </si>
  <si>
    <t>8.2.3</t>
  </si>
  <si>
    <t>8.2.4</t>
  </si>
  <si>
    <t>9.3</t>
  </si>
  <si>
    <t>9.4</t>
  </si>
  <si>
    <t>9.5</t>
  </si>
  <si>
    <t>9.6</t>
  </si>
  <si>
    <t>9.7</t>
  </si>
  <si>
    <t>9.8</t>
  </si>
  <si>
    <t>CREA-MG 194.745/D</t>
  </si>
  <si>
    <t>DATA: 02/07/2021</t>
  </si>
  <si>
    <t>LOCAL: Rua Nozinho Prates, S/Nº, Bairro Centro - Coração de Jesus - MG</t>
  </si>
  <si>
    <t>REGIÃO/MÊS DE REFERÊNCIA: SINAPI MG / MAIO DE 2021 - Não Desonerado - SETOP NORTE / ABRIL DE 2021</t>
  </si>
  <si>
    <t>PRAZO DE EXECUÇÃO: 06 Meses</t>
  </si>
  <si>
    <t>BDI</t>
  </si>
  <si>
    <t>PREÇO UNITÁRIO S/ BDI</t>
  </si>
  <si>
    <t>PREÇO UNITÁRIO C/ BDI</t>
  </si>
  <si>
    <t>ED-28427</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</si>
  <si>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</si>
  <si>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ED-49655</t>
  </si>
  <si>
    <t>DM³</t>
  </si>
  <si>
    <t>FORMA E DESFORMA DE COMPENSADO PLASTIFICADO, ESP. 12MM, REAPROVEITAMENTO (5X), EXCLUSIVE ESCORAMENTO</t>
  </si>
  <si>
    <t>93382</t>
  </si>
  <si>
    <t>REATERRO MANUAL DE VALAS, COM COMPACTADOR DE SOLOS DE PERCUSSÃO. AF_08/2023</t>
  </si>
  <si>
    <t>ANCORAGEM DE BARRAS DE AÇO COM CHUMBADOR QUÍMICO À BASE DE RESINA POLIÉSTER, EXCLUSIVE FORNECIMENTO DE BARRA - ANCORAGEM DA PLATIBANDA, PROFUNDIDADE DO FURO DE 50 CM E FERRO DE 8.0 MM DE DIÂMETRO</t>
  </si>
  <si>
    <t>ED-48232</t>
  </si>
  <si>
    <t>ED-48231</t>
  </si>
  <si>
    <t>ALVENARIA DE VEDAÇÃO COM TIJOLO CERÂMICO FURADO, ESP.14CM, PARA REVESTIMENTO, INCLUSIVE ARGAMASSA PARA ASSENTAMENTO - PLATIBANDA</t>
  </si>
  <si>
    <t>ALVENARIA DE VEDAÇÃO COM TIJOLO CERÂMICO FURADO, ESP. 9CM, PARA REVESTIMENTO, INCLUSIVE ARGAMASSA PARA ASSENTAMENTO - MURO DE VEDAÇÃO</t>
  </si>
  <si>
    <t>ED-48192</t>
  </si>
  <si>
    <t>ED-48532</t>
  </si>
  <si>
    <t>DIVISÓRIA EM ARDÓSIA, ESP. 3CM, INCLUSIVE INSTALAÇÃO, FERRAGENS EM LATÃO CROMADO E ACESSÓRIOS</t>
  </si>
  <si>
    <t>87263</t>
  </si>
  <si>
    <t>REVESTIMENTO CERÂMICO PARA PISO COM PLACAS TIPO PORCELANATO DE DIMENSÕES 60X60 CM APLICADA EM AMBIENTES DE ÁREA MAIOR QUE 10 M². AF_02/2023_PE - SANITÁRIOS INFANTIS</t>
  </si>
  <si>
    <t>APLICAÇÃO MANUAL DE FUNDO SELADOR ACRÍLICO EM PAREDES EXTERNAS DE CASAS. AF_06/2014 - MURO DE VEDAÇÃO E MURO DE ARRIMO</t>
  </si>
  <si>
    <t>ED-50452</t>
  </si>
  <si>
    <t>10.3</t>
  </si>
  <si>
    <t>10.4</t>
  </si>
  <si>
    <t>10.5</t>
  </si>
  <si>
    <t>10.6</t>
  </si>
  <si>
    <t>10.7</t>
  </si>
  <si>
    <t>10.8</t>
  </si>
  <si>
    <t>10.9</t>
  </si>
  <si>
    <t>10.10</t>
  </si>
  <si>
    <t>10.11</t>
  </si>
  <si>
    <t>10.12</t>
  </si>
  <si>
    <t>10.13</t>
  </si>
  <si>
    <t>10.14</t>
  </si>
  <si>
    <t>10.15</t>
  </si>
  <si>
    <t>10.16</t>
  </si>
  <si>
    <t>10.17</t>
  </si>
  <si>
    <t>10.18</t>
  </si>
  <si>
    <t>10.19</t>
  </si>
  <si>
    <t>10.20</t>
  </si>
  <si>
    <t>10.21</t>
  </si>
  <si>
    <t>10.22</t>
  </si>
  <si>
    <t>10.23</t>
  </si>
  <si>
    <t>FURO DE BOJO EM BANCADA DE GRANITO/MÁRMORE, INCLUSIVE COLAGEM COM MASSA PLÁSTICA</t>
  </si>
  <si>
    <t>TOTAL DA OBRA</t>
  </si>
  <si>
    <t>11.1.1</t>
  </si>
  <si>
    <t>11.1.2</t>
  </si>
  <si>
    <t>11.1.3</t>
  </si>
  <si>
    <t>11.1.4</t>
  </si>
  <si>
    <t>11.1.5</t>
  </si>
  <si>
    <t>11.1.6</t>
  </si>
  <si>
    <t>11.2.1</t>
  </si>
  <si>
    <t>11.3</t>
  </si>
  <si>
    <t>11.3.1</t>
  </si>
  <si>
    <t>11.3.2</t>
  </si>
  <si>
    <t>11.3.3</t>
  </si>
  <si>
    <t>11.3.4</t>
  </si>
  <si>
    <t>11.3.5</t>
  </si>
  <si>
    <t>11.3.6</t>
  </si>
  <si>
    <t>11.4</t>
  </si>
  <si>
    <t>11.4.1</t>
  </si>
  <si>
    <t>11.4.2</t>
  </si>
  <si>
    <t>11.4.3</t>
  </si>
  <si>
    <t>11.4.4</t>
  </si>
  <si>
    <t>11.4.5</t>
  </si>
  <si>
    <t>11.4.6</t>
  </si>
  <si>
    <t>11.5</t>
  </si>
  <si>
    <t>11.5.1</t>
  </si>
  <si>
    <t>11.5.2</t>
  </si>
  <si>
    <t>11.5.3</t>
  </si>
  <si>
    <t>11.5.4</t>
  </si>
  <si>
    <t>11.5.5</t>
  </si>
  <si>
    <t>11.6</t>
  </si>
  <si>
    <t>11.6.1</t>
  </si>
  <si>
    <t>11.7</t>
  </si>
  <si>
    <t>11.7.1</t>
  </si>
  <si>
    <t>11.7.2</t>
  </si>
  <si>
    <t>11.7.3</t>
  </si>
  <si>
    <t>11.7.4</t>
  </si>
  <si>
    <t>11.8</t>
  </si>
  <si>
    <t>11.8.1</t>
  </si>
  <si>
    <t>11.8.2</t>
  </si>
  <si>
    <t>11.8.3</t>
  </si>
  <si>
    <t>11.9</t>
  </si>
  <si>
    <t>11.9.1</t>
  </si>
  <si>
    <t>11.9.2</t>
  </si>
  <si>
    <t>ESTRUTURAS DE CONCRETO ARMADO - MURO DE ARRIMO E DE VEDAÇÃO</t>
  </si>
  <si>
    <t>Robson Adalberto Mota Dias</t>
  </si>
  <si>
    <t>Prefeito Municipal</t>
  </si>
  <si>
    <t>ED-50933</t>
  </si>
  <si>
    <t>ASSENTAMENTO DE GRADIL E PORTÃO, EXCLUSIVE
FORNECIMENTO</t>
  </si>
  <si>
    <t>FORNECIMENTO DE GRADE FABRICADA EM CHAPA #14 COM TUBOS REDONDOS DE METALON COM DIÂMETRO DE 1 ¼” E 2”, ALTURA DE 2,10 M, DISTÂNCIA ENTRE OS TUBOS DE 1 ¼” DE 10 CM – CONFORME PROJETO
FORNECIMENTO DE PORTÃO DE ABRIR COM DUAS FOLHAS, 1,20 X 2,10 M, FABRICADO COM TUBOS REDONDOS DE METALON CHAPA #14 COM DIÂMETRO DE 1 ¼” E 2”, DISTÂNCIA ENTRE OS TUBOS DE 1 ¼” DE 10 CM – CONFORME PROJETO</t>
  </si>
  <si>
    <t>5.8</t>
  </si>
  <si>
    <t>ED-50915</t>
  </si>
  <si>
    <t>PORTA METÁLICA 70 X 210 CM , INCLUINDO FECHADURA TIPO
EXTERNA E FERRAGENS, CONFORME DETALHE PADRÃO
ESCOLAR 4/98 VERSÃO 2005 - P2</t>
  </si>
  <si>
    <t>ED-50916</t>
  </si>
  <si>
    <t>PORTA METÁLICA 80 X 210 CM , INCLUINDO FECHADURA TIPO
EXTERNA E FERRAGENS, CONFORME DETALHE PADRÃO
ESCOLAR 4/98 VERSÃO 2005</t>
  </si>
  <si>
    <t>5.9</t>
  </si>
  <si>
    <t>5.10</t>
  </si>
  <si>
    <t>ED-50392</t>
  </si>
  <si>
    <t>MOBILIZAÇÃO E DESMOBILIZAÇÃO DE OBRA EM CENTRO URBANO OU REGIÃO LIMÍTROFE COM VALOR ATÉ O VALOR DE 1.000.000,00</t>
  </si>
  <si>
    <t>OBRA: RETOMADA DE OBRA DE CONSTRUÇÃO DE CRECHE/PRÉ ESCOLA CEMEI PEDACINHO DO CÉU</t>
  </si>
  <si>
    <t>PINTURA ACRÍLICA EM TETO, DUAS (2) DEMÃOS, EXCLUSIVE SELADOR ACRÍLICO E MASSA ACRÍLICA/CORRIDA (PVA)</t>
  </si>
  <si>
    <t>REGIÃO/MÊS DE REFERÊNCIA: SINAPI MG / OUTUBRO DE 2023 - Não Desonerado - SETOP NORTE / AGOSTO DE 2023</t>
  </si>
  <si>
    <t>ALVENARIA DE VEDAÇÃO COM BLOCO DE CONCRETO, ESP. 14CM, PARA REVESTIMENTO, INCLUSIVE ARGAMASSA PARA ASSENTAMENTO - MURO DE ARRIMO</t>
  </si>
</sst>
</file>

<file path=xl/styles.xml><?xml version="1.0" encoding="utf-8"?>
<styleSheet xmlns="http://schemas.openxmlformats.org/spreadsheetml/2006/main">
  <numFmts count="7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quot;R$ &quot;#,##0.00"/>
    <numFmt numFmtId="183" formatCode="0.0%"/>
    <numFmt numFmtId="184" formatCode="&quot;R$&quot;\ #,##0.0;[Red]\-&quot;R$&quot;\ #,##0.0"/>
    <numFmt numFmtId="185" formatCode="&quot;R$&quot;\ #,##0.00"/>
    <numFmt numFmtId="186" formatCode="&quot;Ativado&quot;;&quot;Ativado&quot;;&quot;Desativado&quot;"/>
    <numFmt numFmtId="187" formatCode="[$-416]dddd\,\ d&quot; de &quot;mmmm&quot; de &quot;yyyy"/>
    <numFmt numFmtId="188" formatCode="&quot;R$&quot;#,##0_);\(&quot;R$&quot;#,##0\)"/>
    <numFmt numFmtId="189" formatCode="&quot;R$&quot;#,##0_);[Red]\(&quot;R$&quot;#,##0\)"/>
    <numFmt numFmtId="190" formatCode="&quot;R$&quot;#,##0.00_);\(&quot;R$&quot;#,##0.00\)"/>
    <numFmt numFmtId="191" formatCode="&quot;R$&quot;#,##0.00_);[Red]\(&quot;R$&quot;#,##0.00\)"/>
    <numFmt numFmtId="192" formatCode="_(&quot;R$&quot;* #,##0_);_(&quot;R$&quot;* \(#,##0\);_(&quot;R$&quot;* &quot;-&quot;_);_(@_)"/>
    <numFmt numFmtId="193" formatCode="_(&quot;R$&quot;* #,##0.00_);_(&quot;R$&quot;* \(#,##0.00\);_(&quot;R$&quot;* &quot;-&quot;??_);_(@_)"/>
    <numFmt numFmtId="194" formatCode="0.000"/>
    <numFmt numFmtId="195" formatCode="0.0000"/>
    <numFmt numFmtId="196" formatCode="d\ mmmm\,\ yyyy"/>
    <numFmt numFmtId="197" formatCode="mmm/yyyy"/>
    <numFmt numFmtId="198" formatCode="0.0"/>
    <numFmt numFmtId="199" formatCode="0_);[Red]\(0\)"/>
    <numFmt numFmtId="200" formatCode="00"/>
    <numFmt numFmtId="201" formatCode="[$-416]mmm/yyyy;@"/>
    <numFmt numFmtId="202" formatCode="dd/mm/yy;@"/>
    <numFmt numFmtId="203" formatCode="0.000%"/>
    <numFmt numFmtId="204" formatCode="0.0000%"/>
    <numFmt numFmtId="205" formatCode="[$-416]mmmm\-yy;@"/>
    <numFmt numFmtId="206" formatCode="d/m/yy;@"/>
    <numFmt numFmtId="207" formatCode="[$-416]mmm\-yyyy;@"/>
    <numFmt numFmtId="208" formatCode="[$-416]mmmm\-yyyy;@"/>
    <numFmt numFmtId="209" formatCode="_-* #,##0.000_-;\-* #,##0.000_-;_-* &quot;-&quot;??_-;_-@_-"/>
    <numFmt numFmtId="210" formatCode="_-* #,##0.0000_-;\-* #,##0.0000_-;_-* &quot;-&quot;??_-;_-@_-"/>
    <numFmt numFmtId="211" formatCode="_-* #,##0.00000_-;\-* #,##0.00000_-;_-* &quot;-&quot;??_-;_-@_-"/>
    <numFmt numFmtId="212" formatCode="_-* #,##0.000000_-;\-* #,##0.000000_-;_-* &quot;-&quot;??_-;_-@_-"/>
    <numFmt numFmtId="213" formatCode="#,##0.0000_);\(#,##0.0000\)"/>
    <numFmt numFmtId="214" formatCode="_-* #,##0.0000000_-;\-* #,##0.0000000_-;_-* &quot;-&quot;??_-;_-@_-"/>
    <numFmt numFmtId="215" formatCode="_(* #,##0.0000_);_(* \(#,##0.0000\);_(* &quot;-&quot;??_);_(@_)"/>
    <numFmt numFmtId="216" formatCode="_-* #,##0.0000000_-;\-* #,##0.0000000_-;_-* &quot;-&quot;???????_-;_-@_-"/>
    <numFmt numFmtId="217" formatCode="#,##0.000"/>
    <numFmt numFmtId="218" formatCode="#,##0.0000"/>
    <numFmt numFmtId="219" formatCode="#,##0.0"/>
    <numFmt numFmtId="220" formatCode="&quot;R$&quot;#,##0.00"/>
    <numFmt numFmtId="221" formatCode="0.0000000000000"/>
    <numFmt numFmtId="222" formatCode="0.00000"/>
    <numFmt numFmtId="223" formatCode="_(\ #,##0.00_);_(\ \(#,##0.00\);_(\ &quot;-&quot;??_);_(@_)"/>
    <numFmt numFmtId="224" formatCode="_(* #,##0.000_);_(* \(#,##0.000\);_(* &quot;-&quot;??_);_(@_)"/>
    <numFmt numFmtId="225" formatCode="#,##0.00000"/>
  </numFmts>
  <fonts count="50">
    <font>
      <sz val="10"/>
      <name val="Arial"/>
      <family val="0"/>
    </font>
    <font>
      <sz val="8"/>
      <name val="Arial"/>
      <family val="2"/>
    </font>
    <font>
      <b/>
      <sz val="10"/>
      <name val="Arial"/>
      <family val="2"/>
    </font>
    <font>
      <b/>
      <sz val="12"/>
      <name val="Arial"/>
      <family val="2"/>
    </font>
    <font>
      <u val="single"/>
      <sz val="7.5"/>
      <color indexed="12"/>
      <name val="Arial"/>
      <family val="2"/>
    </font>
    <font>
      <u val="single"/>
      <sz val="7.5"/>
      <color indexed="36"/>
      <name val="Arial"/>
      <family val="2"/>
    </font>
    <font>
      <b/>
      <sz val="8"/>
      <name val="Arial"/>
      <family val="2"/>
    </font>
    <font>
      <b/>
      <i/>
      <sz val="8"/>
      <name val="Arial"/>
      <family val="2"/>
    </font>
    <font>
      <sz val="11"/>
      <color indexed="8"/>
      <name val="Calibri"/>
      <family val="2"/>
    </font>
    <font>
      <b/>
      <sz val="11"/>
      <color indexed="8"/>
      <name val="Calibri"/>
      <family val="2"/>
    </font>
    <font>
      <u val="single"/>
      <sz val="10"/>
      <color indexed="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8"/>
      <name val="Arial"/>
      <family val="2"/>
    </font>
    <font>
      <sz val="11"/>
      <color indexed="8"/>
      <name val="Arial"/>
      <family val="0"/>
    </font>
    <font>
      <sz val="9"/>
      <color indexed="8"/>
      <name val="Arial"/>
      <family val="0"/>
    </font>
    <font>
      <b/>
      <u val="single"/>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62"/>
        <bgColor indexed="64"/>
      </patternFill>
    </fill>
    <fill>
      <patternFill patternType="solid">
        <fgColor theme="6" tint="0.39998000860214233"/>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style="medium"/>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color indexed="63"/>
      </top>
      <bottom style="hair"/>
    </border>
    <border>
      <left style="medium"/>
      <right style="hair"/>
      <top style="hair"/>
      <bottom style="medium"/>
    </border>
    <border>
      <left style="medium"/>
      <right style="medium"/>
      <top style="medium"/>
      <bottom style="medium"/>
    </border>
    <border>
      <left>
        <color indexed="63"/>
      </left>
      <right style="medium"/>
      <top style="thin"/>
      <bottom style="medium"/>
    </border>
    <border>
      <left style="thin"/>
      <right style="thin"/>
      <top style="thin"/>
      <bottom style="thin"/>
    </border>
    <border>
      <left style="hair"/>
      <right>
        <color indexed="63"/>
      </right>
      <top style="hair"/>
      <bottom style="hair"/>
    </border>
    <border>
      <left style="medium"/>
      <right style="hair"/>
      <top>
        <color indexed="63"/>
      </top>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medium"/>
      <top>
        <color indexed="63"/>
      </top>
      <bottom style="hair"/>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20" borderId="5" applyNumberFormat="0" applyAlignment="0" applyProtection="0"/>
    <xf numFmtId="175" fontId="0" fillId="0" borderId="0" applyFont="0" applyFill="0" applyBorder="0" applyAlignment="0" applyProtection="0"/>
    <xf numFmtId="43" fontId="8" fillId="0" borderId="0" applyFont="0" applyFill="0" applyBorder="0" applyAlignment="0" applyProtection="0"/>
    <xf numFmtId="177"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77" fontId="11" fillId="0" borderId="0" applyFont="0" applyFill="0" applyBorder="0" applyAlignment="0" applyProtection="0"/>
    <xf numFmtId="43" fontId="8" fillId="0" borderId="0" applyFont="0" applyFill="0" applyBorder="0" applyAlignment="0" applyProtection="0"/>
  </cellStyleXfs>
  <cellXfs count="243">
    <xf numFmtId="0" fontId="0" fillId="0" borderId="0" xfId="0" applyAlignment="1">
      <alignment/>
    </xf>
    <xf numFmtId="0" fontId="0" fillId="0" borderId="0" xfId="0"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Border="1" applyAlignment="1">
      <alignment vertical="center"/>
    </xf>
    <xf numFmtId="0" fontId="2" fillId="0" borderId="13" xfId="0" applyFont="1" applyFill="1" applyBorder="1" applyAlignment="1">
      <alignment horizontal="lef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17" xfId="0" applyFont="1" applyBorder="1" applyAlignment="1">
      <alignment horizontal="center" vertical="center" wrapText="1"/>
    </xf>
    <xf numFmtId="2" fontId="1" fillId="0" borderId="18" xfId="72" applyNumberFormat="1" applyFont="1" applyFill="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177" fontId="1" fillId="0" borderId="18" xfId="72" applyFont="1" applyFill="1" applyBorder="1" applyAlignment="1">
      <alignment horizontal="center" vertical="center" wrapText="1"/>
    </xf>
    <xf numFmtId="4" fontId="1" fillId="0" borderId="20"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2" fontId="1" fillId="0" borderId="20" xfId="72"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Alignment="1">
      <alignment/>
    </xf>
    <xf numFmtId="0" fontId="0" fillId="0" borderId="0" xfId="0" applyFont="1" applyAlignment="1">
      <alignment/>
    </xf>
    <xf numFmtId="0" fontId="6" fillId="0" borderId="22" xfId="0" applyFont="1" applyBorder="1" applyAlignment="1">
      <alignment horizontal="center" vertical="center" wrapText="1"/>
    </xf>
    <xf numFmtId="49" fontId="6" fillId="0" borderId="23" xfId="0" applyNumberFormat="1" applyFont="1" applyBorder="1" applyAlignment="1">
      <alignment horizontal="center" vertical="center" wrapText="1"/>
    </xf>
    <xf numFmtId="0" fontId="6" fillId="0" borderId="23" xfId="0" applyFont="1" applyBorder="1" applyAlignment="1">
      <alignment horizontal="left" vertical="center" wrapText="1"/>
    </xf>
    <xf numFmtId="2" fontId="1" fillId="0" borderId="23" xfId="72" applyNumberFormat="1" applyFont="1" applyFill="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0" fontId="6" fillId="0" borderId="17" xfId="0"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18" xfId="0" applyFont="1" applyBorder="1" applyAlignment="1">
      <alignment horizontal="left" vertical="center" wrapText="1"/>
    </xf>
    <xf numFmtId="0" fontId="1" fillId="0" borderId="18" xfId="0" applyFont="1" applyBorder="1" applyAlignment="1">
      <alignment horizontal="center" vertical="center" wrapText="1"/>
    </xf>
    <xf numFmtId="49" fontId="6" fillId="0" borderId="25" xfId="0" applyNumberFormat="1" applyFont="1" applyFill="1" applyBorder="1" applyAlignment="1">
      <alignment vertical="center"/>
    </xf>
    <xf numFmtId="49" fontId="1" fillId="0" borderId="2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20" xfId="0" applyFont="1" applyBorder="1" applyAlignment="1">
      <alignment horizontal="left" vertical="center" wrapText="1"/>
    </xf>
    <xf numFmtId="4" fontId="6" fillId="0" borderId="27" xfId="0" applyNumberFormat="1" applyFont="1" applyBorder="1" applyAlignment="1">
      <alignment horizontal="center" vertical="center" wrapText="1"/>
    </xf>
    <xf numFmtId="10" fontId="2" fillId="0" borderId="28" xfId="58" applyNumberFormat="1" applyFont="1" applyFill="1" applyBorder="1" applyAlignment="1">
      <alignment horizontal="center" vertical="center"/>
    </xf>
    <xf numFmtId="2" fontId="6" fillId="0" borderId="18" xfId="72" applyNumberFormat="1" applyFont="1" applyFill="1" applyBorder="1" applyAlignment="1">
      <alignment horizontal="center" vertical="center" wrapText="1"/>
    </xf>
    <xf numFmtId="4" fontId="6" fillId="0" borderId="18"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0" fontId="2" fillId="0" borderId="0" xfId="0" applyFont="1" applyAlignment="1">
      <alignment/>
    </xf>
    <xf numFmtId="0" fontId="6"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xf>
    <xf numFmtId="167" fontId="0" fillId="0" borderId="0" xfId="0" applyNumberFormat="1" applyAlignment="1">
      <alignmen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4" fontId="6"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0" fillId="0" borderId="0" xfId="0" applyNumberFormat="1" applyFill="1" applyAlignment="1">
      <alignment/>
    </xf>
    <xf numFmtId="0" fontId="0" fillId="0" borderId="0" xfId="0" applyFill="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quotePrefix="1">
      <alignment horizontal="center" vertical="center" wrapText="1"/>
    </xf>
    <xf numFmtId="4" fontId="1" fillId="0" borderId="18"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0" fillId="32" borderId="0" xfId="0" applyFill="1" applyAlignment="1">
      <alignment/>
    </xf>
    <xf numFmtId="0" fontId="0" fillId="33" borderId="0" xfId="0" applyFill="1" applyAlignment="1">
      <alignment/>
    </xf>
    <xf numFmtId="0" fontId="0" fillId="0" borderId="29" xfId="0" applyBorder="1" applyAlignment="1">
      <alignment horizontal="center" vertical="center"/>
    </xf>
    <xf numFmtId="0" fontId="0" fillId="0" borderId="29" xfId="0" applyBorder="1" applyAlignment="1">
      <alignment/>
    </xf>
    <xf numFmtId="0" fontId="0" fillId="0" borderId="29" xfId="0" applyBorder="1" applyAlignment="1">
      <alignment/>
    </xf>
    <xf numFmtId="0" fontId="0" fillId="0" borderId="29" xfId="0" applyBorder="1" applyAlignment="1">
      <alignment horizontal="center"/>
    </xf>
    <xf numFmtId="0" fontId="0" fillId="0" borderId="29" xfId="0" applyBorder="1" applyAlignment="1">
      <alignment vertical="center"/>
    </xf>
    <xf numFmtId="0" fontId="0" fillId="32" borderId="29" xfId="0" applyFill="1" applyBorder="1" applyAlignment="1">
      <alignment horizontal="center" vertical="center"/>
    </xf>
    <xf numFmtId="0" fontId="0" fillId="33" borderId="29" xfId="0" applyFill="1" applyBorder="1" applyAlignment="1">
      <alignment horizontal="center" vertical="center"/>
    </xf>
    <xf numFmtId="0" fontId="0" fillId="0" borderId="29" xfId="0" applyBorder="1" applyAlignment="1">
      <alignment horizontal="center" vertical="justify"/>
    </xf>
    <xf numFmtId="0" fontId="0" fillId="0" borderId="29" xfId="0" applyBorder="1" applyAlignment="1">
      <alignment vertical="justify"/>
    </xf>
    <xf numFmtId="0" fontId="0" fillId="32" borderId="29" xfId="0" applyFill="1" applyBorder="1" applyAlignment="1">
      <alignment horizontal="center"/>
    </xf>
    <xf numFmtId="0" fontId="0" fillId="33" borderId="29" xfId="0" applyFill="1" applyBorder="1" applyAlignment="1">
      <alignment horizontal="center"/>
    </xf>
    <xf numFmtId="167" fontId="0" fillId="0" borderId="29" xfId="0" applyNumberFormat="1" applyBorder="1" applyAlignment="1">
      <alignment horizontal="center"/>
    </xf>
    <xf numFmtId="185" fontId="0" fillId="0" borderId="29" xfId="0" applyNumberFormat="1" applyBorder="1" applyAlignment="1">
      <alignment horizontal="center"/>
    </xf>
    <xf numFmtId="4" fontId="0" fillId="0" borderId="29" xfId="0" applyNumberFormat="1" applyBorder="1" applyAlignment="1">
      <alignment horizontal="center"/>
    </xf>
    <xf numFmtId="4" fontId="0" fillId="32" borderId="29" xfId="0" applyNumberFormat="1" applyFill="1" applyBorder="1" applyAlignment="1">
      <alignment horizontal="center"/>
    </xf>
    <xf numFmtId="167" fontId="9" fillId="0" borderId="29" xfId="0" applyNumberFormat="1" applyFont="1" applyBorder="1" applyAlignment="1">
      <alignment/>
    </xf>
    <xf numFmtId="0" fontId="2" fillId="0" borderId="29" xfId="0" applyFont="1" applyBorder="1" applyAlignment="1">
      <alignment horizontal="center" vertical="center"/>
    </xf>
    <xf numFmtId="0" fontId="2" fillId="0" borderId="29" xfId="0" applyFont="1" applyBorder="1" applyAlignment="1">
      <alignment/>
    </xf>
    <xf numFmtId="0" fontId="2" fillId="0" borderId="29" xfId="0" applyFont="1" applyBorder="1" applyAlignment="1">
      <alignment horizontal="center"/>
    </xf>
    <xf numFmtId="0" fontId="2" fillId="32" borderId="29" xfId="0" applyFont="1" applyFill="1" applyBorder="1" applyAlignment="1">
      <alignment horizontal="center"/>
    </xf>
    <xf numFmtId="0" fontId="2" fillId="33" borderId="29" xfId="0" applyFont="1" applyFill="1" applyBorder="1" applyAlignment="1">
      <alignment horizontal="center"/>
    </xf>
    <xf numFmtId="167" fontId="2" fillId="0" borderId="29" xfId="0" applyNumberFormat="1" applyFont="1" applyBorder="1" applyAlignment="1">
      <alignment horizontal="center"/>
    </xf>
    <xf numFmtId="185" fontId="2" fillId="0" borderId="29" xfId="0" applyNumberFormat="1" applyFont="1" applyBorder="1" applyAlignment="1">
      <alignment horizontal="center"/>
    </xf>
    <xf numFmtId="0" fontId="2" fillId="0" borderId="29" xfId="72" applyNumberFormat="1" applyFont="1" applyBorder="1" applyAlignment="1">
      <alignment horizontal="center" vertical="center"/>
    </xf>
    <xf numFmtId="10" fontId="0" fillId="0" borderId="0" xfId="58" applyNumberFormat="1" applyFont="1" applyAlignment="1">
      <alignment/>
    </xf>
    <xf numFmtId="185" fontId="0" fillId="0" borderId="0" xfId="0" applyNumberFormat="1" applyAlignment="1">
      <alignment/>
    </xf>
    <xf numFmtId="0" fontId="2" fillId="34" borderId="29" xfId="0" applyFont="1" applyFill="1" applyBorder="1" applyAlignment="1">
      <alignment horizontal="center" vertical="center"/>
    </xf>
    <xf numFmtId="0" fontId="2" fillId="34" borderId="29" xfId="0" applyFont="1" applyFill="1" applyBorder="1" applyAlignment="1">
      <alignment/>
    </xf>
    <xf numFmtId="0" fontId="2" fillId="34" borderId="29" xfId="0" applyFont="1" applyFill="1" applyBorder="1" applyAlignment="1">
      <alignment horizontal="center"/>
    </xf>
    <xf numFmtId="185" fontId="2" fillId="34" borderId="29" xfId="0" applyNumberFormat="1" applyFont="1" applyFill="1" applyBorder="1" applyAlignment="1">
      <alignment horizontal="center"/>
    </xf>
    <xf numFmtId="167" fontId="2" fillId="34" borderId="29" xfId="0" applyNumberFormat="1" applyFont="1" applyFill="1" applyBorder="1" applyAlignment="1">
      <alignment horizontal="center"/>
    </xf>
    <xf numFmtId="0" fontId="2" fillId="34" borderId="0" xfId="0" applyFont="1" applyFill="1" applyAlignment="1">
      <alignment/>
    </xf>
    <xf numFmtId="0" fontId="2" fillId="34" borderId="29" xfId="72" applyNumberFormat="1" applyFont="1" applyFill="1" applyBorder="1" applyAlignment="1">
      <alignment horizontal="center" vertical="center"/>
    </xf>
    <xf numFmtId="0" fontId="0" fillId="34" borderId="29" xfId="0" applyFill="1" applyBorder="1" applyAlignment="1">
      <alignment horizontal="center"/>
    </xf>
    <xf numFmtId="0" fontId="0" fillId="34" borderId="29" xfId="0" applyFill="1" applyBorder="1" applyAlignment="1">
      <alignment/>
    </xf>
    <xf numFmtId="185" fontId="0" fillId="34" borderId="29" xfId="0" applyNumberFormat="1" applyFill="1" applyBorder="1" applyAlignment="1">
      <alignment horizontal="center"/>
    </xf>
    <xf numFmtId="167" fontId="0" fillId="34" borderId="29" xfId="0" applyNumberFormat="1" applyFill="1" applyBorder="1" applyAlignment="1">
      <alignment horizontal="center"/>
    </xf>
    <xf numFmtId="0" fontId="0" fillId="34" borderId="0" xfId="0" applyFill="1" applyAlignment="1">
      <alignment/>
    </xf>
    <xf numFmtId="10" fontId="2" fillId="34" borderId="0" xfId="0" applyNumberFormat="1" applyFont="1" applyFill="1" applyAlignment="1">
      <alignment/>
    </xf>
    <xf numFmtId="4" fontId="1" fillId="0" borderId="25" xfId="0" applyNumberFormat="1" applyFont="1" applyBorder="1" applyAlignment="1">
      <alignment horizontal="center" vertical="center" wrapText="1"/>
    </xf>
    <xf numFmtId="4" fontId="1" fillId="0" borderId="18" xfId="72" applyNumberFormat="1" applyFont="1" applyFill="1" applyBorder="1" applyAlignment="1">
      <alignment horizontal="center" vertical="center" wrapText="1"/>
    </xf>
    <xf numFmtId="0" fontId="0" fillId="0" borderId="29" xfId="0" applyFont="1" applyBorder="1" applyAlignment="1">
      <alignment/>
    </xf>
    <xf numFmtId="0" fontId="0" fillId="0" borderId="0" xfId="0" applyFont="1" applyAlignment="1">
      <alignment/>
    </xf>
    <xf numFmtId="4" fontId="1" fillId="0" borderId="30" xfId="72" applyNumberFormat="1" applyFont="1" applyFill="1" applyBorder="1" applyAlignment="1">
      <alignment horizontal="center" vertical="center" wrapText="1"/>
    </xf>
    <xf numFmtId="0" fontId="0" fillId="0" borderId="0" xfId="0" applyFont="1" applyBorder="1" applyAlignment="1">
      <alignment vertical="center"/>
    </xf>
    <xf numFmtId="0" fontId="49" fillId="0" borderId="18" xfId="0" applyFont="1" applyBorder="1" applyAlignment="1">
      <alignment vertical="center" wrapText="1"/>
    </xf>
    <xf numFmtId="0" fontId="1" fillId="0" borderId="3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5" xfId="0" applyNumberFormat="1" applyFont="1" applyBorder="1" applyAlignment="1">
      <alignment horizontal="left" vertical="center" wrapText="1"/>
    </xf>
    <xf numFmtId="49" fontId="1" fillId="0" borderId="30" xfId="0" applyNumberFormat="1" applyFont="1" applyBorder="1" applyAlignment="1">
      <alignment horizontal="center" vertical="center" wrapText="1"/>
    </xf>
    <xf numFmtId="4" fontId="1" fillId="0" borderId="32" xfId="72"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1" fillId="0" borderId="33"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0" fontId="49" fillId="0" borderId="25" xfId="0" applyFont="1" applyBorder="1" applyAlignment="1">
      <alignment vertical="center" wrapText="1"/>
    </xf>
    <xf numFmtId="49" fontId="49" fillId="0" borderId="18" xfId="0" applyNumberFormat="1" applyFont="1" applyBorder="1" applyAlignment="1">
      <alignment vertical="center" wrapText="1"/>
    </xf>
    <xf numFmtId="177" fontId="1" fillId="0" borderId="25" xfId="72" applyFont="1" applyBorder="1" applyAlignment="1">
      <alignment horizontal="center" vertical="center" wrapText="1"/>
    </xf>
    <xf numFmtId="177" fontId="1" fillId="0" borderId="32" xfId="72" applyFont="1" applyBorder="1" applyAlignment="1">
      <alignment horizontal="center" vertical="center" wrapText="1"/>
    </xf>
    <xf numFmtId="177" fontId="1" fillId="0" borderId="18" xfId="72" applyFont="1" applyBorder="1" applyAlignment="1">
      <alignment horizontal="center" vertical="center" wrapText="1"/>
    </xf>
    <xf numFmtId="0" fontId="6" fillId="35" borderId="31" xfId="0" applyNumberFormat="1" applyFont="1" applyFill="1" applyBorder="1" applyAlignment="1">
      <alignment horizontal="center" vertical="center" wrapText="1"/>
    </xf>
    <xf numFmtId="0" fontId="6" fillId="35" borderId="18" xfId="0" applyNumberFormat="1" applyFont="1" applyFill="1" applyBorder="1" applyAlignment="1">
      <alignment horizontal="center" vertical="center" wrapText="1"/>
    </xf>
    <xf numFmtId="0" fontId="6" fillId="35" borderId="18" xfId="0" applyNumberFormat="1" applyFont="1" applyFill="1" applyBorder="1" applyAlignment="1">
      <alignment horizontal="left" vertical="center" wrapText="1"/>
    </xf>
    <xf numFmtId="0" fontId="1" fillId="35" borderId="18" xfId="72"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wrapText="1"/>
    </xf>
    <xf numFmtId="0" fontId="0" fillId="35" borderId="0" xfId="0" applyFont="1" applyFill="1" applyAlignment="1">
      <alignment/>
    </xf>
    <xf numFmtId="0" fontId="6" fillId="35" borderId="25" xfId="0" applyNumberFormat="1" applyFont="1" applyFill="1" applyBorder="1" applyAlignment="1">
      <alignment horizontal="center" vertical="center" wrapText="1"/>
    </xf>
    <xf numFmtId="0" fontId="6" fillId="35" borderId="25" xfId="0" applyNumberFormat="1" applyFont="1" applyFill="1" applyBorder="1" applyAlignment="1">
      <alignment horizontal="left" vertical="center" wrapText="1"/>
    </xf>
    <xf numFmtId="0" fontId="1" fillId="35" borderId="25" xfId="72" applyNumberFormat="1" applyFont="1" applyFill="1" applyBorder="1" applyAlignment="1">
      <alignment horizontal="center" vertical="center" wrapText="1"/>
    </xf>
    <xf numFmtId="4" fontId="1" fillId="35" borderId="25" xfId="0" applyNumberFormat="1" applyFont="1" applyFill="1" applyBorder="1" applyAlignment="1">
      <alignment horizontal="center" vertical="center" wrapText="1"/>
    </xf>
    <xf numFmtId="215" fontId="1" fillId="35" borderId="25" xfId="72" applyNumberFormat="1" applyFont="1" applyFill="1" applyBorder="1" applyAlignment="1">
      <alignment horizontal="center" vertical="center" wrapText="1"/>
    </xf>
    <xf numFmtId="177" fontId="1" fillId="35" borderId="25" xfId="72" applyFont="1" applyFill="1" applyBorder="1" applyAlignment="1">
      <alignment horizontal="center" vertical="center" wrapText="1"/>
    </xf>
    <xf numFmtId="177" fontId="1" fillId="0" borderId="34" xfId="72" applyFont="1" applyBorder="1" applyAlignment="1">
      <alignment horizontal="center" vertical="center" wrapText="1"/>
    </xf>
    <xf numFmtId="177" fontId="1" fillId="35" borderId="18" xfId="72" applyFont="1" applyFill="1" applyBorder="1" applyAlignment="1">
      <alignment horizontal="center" vertical="center" wrapText="1"/>
    </xf>
    <xf numFmtId="43" fontId="0" fillId="0" borderId="0" xfId="0" applyNumberFormat="1" applyFont="1" applyAlignment="1">
      <alignment/>
    </xf>
    <xf numFmtId="177" fontId="1" fillId="0" borderId="18" xfId="72" applyFont="1" applyBorder="1" applyAlignment="1">
      <alignment horizontal="centerContinuous" vertical="center" wrapText="1"/>
    </xf>
    <xf numFmtId="4" fontId="1" fillId="36" borderId="18" xfId="0" applyNumberFormat="1" applyFont="1" applyFill="1" applyBorder="1" applyAlignment="1">
      <alignment horizontal="center" vertical="center" wrapText="1"/>
    </xf>
    <xf numFmtId="49" fontId="1" fillId="36" borderId="33" xfId="0" applyNumberFormat="1" applyFont="1" applyFill="1" applyBorder="1" applyAlignment="1">
      <alignment horizontal="center" vertical="center" wrapText="1"/>
    </xf>
    <xf numFmtId="0" fontId="49" fillId="36" borderId="25" xfId="0" applyFont="1" applyFill="1" applyBorder="1" applyAlignment="1">
      <alignment vertical="center" wrapText="1"/>
    </xf>
    <xf numFmtId="4" fontId="1" fillId="36" borderId="34" xfId="73" applyNumberFormat="1" applyFont="1" applyFill="1" applyBorder="1" applyAlignment="1">
      <alignment horizontal="center" vertical="center" wrapText="1"/>
    </xf>
    <xf numFmtId="4" fontId="1" fillId="36" borderId="25" xfId="0" applyNumberFormat="1" applyFont="1" applyFill="1" applyBorder="1" applyAlignment="1">
      <alignment horizontal="center" vertical="center" wrapText="1"/>
    </xf>
    <xf numFmtId="4" fontId="1" fillId="0" borderId="32" xfId="0" applyNumberFormat="1" applyFont="1" applyBorder="1" applyAlignment="1">
      <alignment horizontal="right" vertical="center" wrapText="1"/>
    </xf>
    <xf numFmtId="4" fontId="0" fillId="0" borderId="0" xfId="0" applyNumberFormat="1" applyFont="1" applyAlignment="1">
      <alignment/>
    </xf>
    <xf numFmtId="177" fontId="1" fillId="36" borderId="32" xfId="72" applyFont="1" applyFill="1" applyBorder="1" applyAlignment="1">
      <alignment horizontal="center" vertical="center" wrapText="1"/>
    </xf>
    <xf numFmtId="4" fontId="1" fillId="36" borderId="32" xfId="0" applyNumberFormat="1" applyFont="1" applyFill="1" applyBorder="1" applyAlignment="1">
      <alignment horizontal="right" vertical="center" wrapText="1"/>
    </xf>
    <xf numFmtId="4" fontId="1" fillId="35" borderId="19" xfId="0" applyNumberFormat="1" applyFont="1" applyFill="1" applyBorder="1" applyAlignment="1">
      <alignment horizontal="right" vertical="center" wrapText="1"/>
    </xf>
    <xf numFmtId="4" fontId="1" fillId="0" borderId="35" xfId="0" applyNumberFormat="1" applyFont="1" applyBorder="1" applyAlignment="1">
      <alignment horizontal="right" vertical="center" wrapText="1"/>
    </xf>
    <xf numFmtId="4" fontId="1" fillId="35" borderId="35" xfId="0" applyNumberFormat="1" applyFont="1" applyFill="1" applyBorder="1" applyAlignment="1">
      <alignment horizontal="right" vertical="center" wrapText="1"/>
    </xf>
    <xf numFmtId="177" fontId="1" fillId="0" borderId="35" xfId="72" applyFont="1" applyBorder="1" applyAlignment="1">
      <alignment horizontal="right" vertical="center" wrapText="1"/>
    </xf>
    <xf numFmtId="177" fontId="1" fillId="35" borderId="35" xfId="72" applyFont="1" applyFill="1" applyBorder="1" applyAlignment="1">
      <alignment horizontal="right" vertical="center" wrapText="1"/>
    </xf>
    <xf numFmtId="0" fontId="1" fillId="0" borderId="0" xfId="0" applyFont="1" applyAlignment="1">
      <alignment horizontal="center" vertical="center"/>
    </xf>
    <xf numFmtId="0" fontId="6" fillId="35" borderId="0" xfId="0" applyFont="1" applyFill="1" applyBorder="1" applyAlignment="1">
      <alignment horizontal="center" vertical="center" wrapText="1"/>
    </xf>
    <xf numFmtId="176" fontId="6" fillId="35" borderId="36" xfId="48" applyFont="1" applyFill="1" applyBorder="1" applyAlignment="1">
      <alignment horizontal="center" vertical="center" wrapText="1"/>
    </xf>
    <xf numFmtId="4" fontId="1" fillId="0" borderId="18" xfId="0" applyNumberFormat="1" applyFont="1" applyBorder="1" applyAlignment="1">
      <alignment horizontal="right" vertical="center" wrapText="1"/>
    </xf>
    <xf numFmtId="4" fontId="1" fillId="0" borderId="25" xfId="0" applyNumberFormat="1" applyFont="1" applyBorder="1" applyAlignment="1">
      <alignment horizontal="right" vertical="center" wrapText="1"/>
    </xf>
    <xf numFmtId="0" fontId="0" fillId="0" borderId="37" xfId="0" applyFont="1" applyBorder="1" applyAlignment="1">
      <alignment vertical="center"/>
    </xf>
    <xf numFmtId="0" fontId="1" fillId="0" borderId="0" xfId="0" applyFont="1" applyAlignment="1">
      <alignment vertical="center"/>
    </xf>
    <xf numFmtId="49" fontId="49" fillId="0" borderId="25" xfId="0" applyNumberFormat="1" applyFont="1" applyBorder="1" applyAlignment="1">
      <alignment vertical="center" wrapText="1"/>
    </xf>
    <xf numFmtId="177" fontId="1" fillId="36" borderId="34" xfId="72" applyFont="1" applyFill="1" applyBorder="1" applyAlignment="1">
      <alignment horizontal="center" vertical="center" wrapText="1"/>
    </xf>
    <xf numFmtId="0" fontId="3" fillId="0" borderId="38" xfId="0" applyFont="1" applyFill="1" applyBorder="1" applyAlignment="1">
      <alignment horizontal="center"/>
    </xf>
    <xf numFmtId="0" fontId="3" fillId="0" borderId="15" xfId="0" applyFont="1" applyFill="1" applyBorder="1" applyAlignment="1">
      <alignment horizontal="center"/>
    </xf>
    <xf numFmtId="0" fontId="3" fillId="0" borderId="36" xfId="0" applyFont="1" applyFill="1" applyBorder="1" applyAlignment="1">
      <alignment horizont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top"/>
    </xf>
    <xf numFmtId="0" fontId="2" fillId="0" borderId="46" xfId="0" applyFont="1" applyFill="1" applyBorder="1" applyAlignment="1">
      <alignment horizontal="left" vertical="top"/>
    </xf>
    <xf numFmtId="0" fontId="2" fillId="0" borderId="47" xfId="0" applyFont="1" applyFill="1" applyBorder="1" applyAlignment="1">
      <alignment horizontal="left" vertical="top"/>
    </xf>
    <xf numFmtId="0" fontId="2" fillId="0" borderId="48" xfId="0" applyFont="1" applyFill="1" applyBorder="1" applyAlignment="1">
      <alignment horizontal="left" vertical="top"/>
    </xf>
    <xf numFmtId="0" fontId="2" fillId="0" borderId="14" xfId="0" applyFont="1" applyFill="1" applyBorder="1" applyAlignment="1">
      <alignment horizontal="left" vertical="top"/>
    </xf>
    <xf numFmtId="0" fontId="2" fillId="0" borderId="49" xfId="0" applyFont="1" applyFill="1" applyBorder="1" applyAlignment="1">
      <alignment horizontal="left" vertical="top"/>
    </xf>
    <xf numFmtId="0" fontId="2" fillId="0" borderId="4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6" xfId="0" applyFont="1" applyFill="1" applyBorder="1" applyAlignment="1">
      <alignment horizontal="center" vertical="center" wrapText="1"/>
    </xf>
    <xf numFmtId="0" fontId="0" fillId="0" borderId="56" xfId="0" applyFill="1" applyBorder="1" applyAlignment="1">
      <alignment horizontal="center"/>
    </xf>
    <xf numFmtId="0" fontId="0" fillId="0" borderId="0" xfId="0" applyBorder="1" applyAlignment="1">
      <alignment horizontal="center" vertical="center"/>
    </xf>
    <xf numFmtId="0" fontId="1" fillId="0" borderId="57" xfId="0" applyFont="1" applyBorder="1" applyAlignment="1">
      <alignment horizontal="center" vertical="center"/>
    </xf>
    <xf numFmtId="0" fontId="1" fillId="0" borderId="0" xfId="0" applyFont="1"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0" borderId="4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6" fillId="0" borderId="38"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9" xfId="0" applyBorder="1" applyAlignment="1">
      <alignment horizontal="center" vertical="center"/>
    </xf>
    <xf numFmtId="0" fontId="0" fillId="0" borderId="29" xfId="0" applyBorder="1" applyAlignment="1">
      <alignment horizontal="left" vertical="center"/>
    </xf>
    <xf numFmtId="0" fontId="0" fillId="0" borderId="29" xfId="0" applyBorder="1" applyAlignment="1">
      <alignment/>
    </xf>
    <xf numFmtId="0" fontId="0" fillId="0" borderId="29" xfId="0" applyBorder="1" applyAlignment="1">
      <alignment horizontal="left"/>
    </xf>
    <xf numFmtId="0" fontId="2" fillId="0" borderId="29" xfId="0" applyFont="1" applyBorder="1" applyAlignment="1">
      <alignment horizontal="left"/>
    </xf>
    <xf numFmtId="0" fontId="0" fillId="0" borderId="29" xfId="0" applyBorder="1" applyAlignment="1">
      <alignment/>
    </xf>
    <xf numFmtId="0" fontId="0" fillId="0" borderId="29" xfId="0" applyBorder="1" applyAlignment="1">
      <alignment horizontal="center"/>
    </xf>
    <xf numFmtId="0" fontId="2" fillId="0" borderId="29" xfId="0" applyFont="1" applyBorder="1" applyAlignment="1">
      <alignment/>
    </xf>
    <xf numFmtId="0" fontId="0" fillId="0" borderId="29" xfId="0" applyBorder="1" applyAlignment="1">
      <alignment horizontal="left" vertical="justify"/>
    </xf>
    <xf numFmtId="0" fontId="9" fillId="0" borderId="29" xfId="0" applyFont="1" applyBorder="1" applyAlignment="1">
      <alignment horizontal="center"/>
    </xf>
    <xf numFmtId="0" fontId="1" fillId="0" borderId="0" xfId="0" applyFont="1" applyAlignment="1">
      <alignment horizont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1" xfId="0" applyBorder="1" applyAlignment="1">
      <alignment horizontal="center" wrapText="1"/>
    </xf>
    <xf numFmtId="0" fontId="0" fillId="0" borderId="52" xfId="0" applyBorder="1" applyAlignment="1">
      <alignment horizontal="center" wrapText="1"/>
    </xf>
    <xf numFmtId="0" fontId="6" fillId="35" borderId="38"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30" xfId="0" applyNumberFormat="1" applyFont="1" applyFill="1" applyBorder="1" applyAlignment="1">
      <alignment horizontal="left" vertical="center" wrapText="1"/>
    </xf>
    <xf numFmtId="0" fontId="6" fillId="35" borderId="60" xfId="0" applyNumberFormat="1" applyFont="1" applyFill="1" applyBorder="1" applyAlignment="1">
      <alignment horizontal="left" vertical="center" wrapText="1"/>
    </xf>
    <xf numFmtId="0" fontId="6" fillId="35" borderId="32" xfId="0" applyNumberFormat="1"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0" fillId="34" borderId="29" xfId="0" applyFill="1" applyBorder="1" applyAlignment="1">
      <alignment horizontal="left"/>
    </xf>
    <xf numFmtId="0" fontId="2" fillId="34" borderId="29" xfId="0" applyFont="1" applyFill="1" applyBorder="1" applyAlignment="1">
      <alignment horizontal="left"/>
    </xf>
    <xf numFmtId="0" fontId="0" fillId="0" borderId="29" xfId="0" applyFont="1" applyBorder="1" applyAlignment="1">
      <alignment horizontal="left"/>
    </xf>
    <xf numFmtId="0" fontId="2" fillId="34" borderId="29" xfId="0" applyFont="1" applyFill="1" applyBorder="1" applyAlignment="1">
      <alignment/>
    </xf>
  </cellXfs>
  <cellStyles count="6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Incorreto" xfId="47"/>
    <cellStyle name="Currency" xfId="48"/>
    <cellStyle name="Currency [0]" xfId="49"/>
    <cellStyle name="Moeda 2" xfId="50"/>
    <cellStyle name="Neutra" xfId="51"/>
    <cellStyle name="Normal 2" xfId="52"/>
    <cellStyle name="Normal 2 2" xfId="53"/>
    <cellStyle name="Normal 3" xfId="54"/>
    <cellStyle name="Normal 4" xfId="55"/>
    <cellStyle name="Normal 5" xfId="56"/>
    <cellStyle name="Nota" xfId="57"/>
    <cellStyle name="Percent" xfId="58"/>
    <cellStyle name="Porcentagem 2" xfId="59"/>
    <cellStyle name="Saída" xfId="60"/>
    <cellStyle name="Comma [0]" xfId="61"/>
    <cellStyle name="Separador de milhares 2" xfId="62"/>
    <cellStyle name="Separador de milhares 3"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 name="Vírgula 2" xfId="73"/>
    <cellStyle name="Vírgula 3" xfId="74"/>
    <cellStyle name="Vírgula 4"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4</xdr:col>
      <xdr:colOff>19050</xdr:colOff>
      <xdr:row>0</xdr:row>
      <xdr:rowOff>704850</xdr:rowOff>
    </xdr:to>
    <xdr:sp>
      <xdr:nvSpPr>
        <xdr:cNvPr id="1" name="Text Box 6"/>
        <xdr:cNvSpPr txBox="1">
          <a:spLocks noChangeArrowheads="1"/>
        </xdr:cNvSpPr>
      </xdr:nvSpPr>
      <xdr:spPr>
        <a:xfrm>
          <a:off x="1190625" y="66675"/>
          <a:ext cx="3714750" cy="6381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ESTADO DE MINAS GERAIS
</a:t>
          </a:r>
          <a:r>
            <a:rPr lang="en-US" cap="none" sz="900" b="0" i="0" u="none" baseline="0">
              <a:solidFill>
                <a:srgbClr val="000000"/>
              </a:solidFill>
              <a:latin typeface="Arial"/>
              <a:ea typeface="Arial"/>
              <a:cs typeface="Arial"/>
            </a:rPr>
            <a:t>Secretaria de Estado de Transportes e Obras Públicas
</a:t>
          </a:r>
          <a:r>
            <a:rPr lang="en-US" cap="none" sz="900" b="0" i="0" u="none" baseline="0">
              <a:solidFill>
                <a:srgbClr val="000000"/>
              </a:solidFill>
              <a:latin typeface="Arial"/>
              <a:ea typeface="Arial"/>
              <a:cs typeface="Arial"/>
            </a:rPr>
            <a:t>Superintendência de Projetos e Custos
</a:t>
          </a:r>
          <a:r>
            <a:rPr lang="en-US" cap="none" sz="900" b="0" i="0" u="none" baseline="0">
              <a:solidFill>
                <a:srgbClr val="000000"/>
              </a:solidFill>
              <a:latin typeface="Arial"/>
              <a:ea typeface="Arial"/>
              <a:cs typeface="Arial"/>
            </a:rPr>
            <a:t>Diretoria de Custos</a:t>
          </a:r>
        </a:p>
      </xdr:txBody>
    </xdr:sp>
    <xdr:clientData/>
  </xdr:twoCellAnchor>
  <xdr:twoCellAnchor>
    <xdr:from>
      <xdr:col>0</xdr:col>
      <xdr:colOff>47625</xdr:colOff>
      <xdr:row>58</xdr:row>
      <xdr:rowOff>47625</xdr:rowOff>
    </xdr:from>
    <xdr:to>
      <xdr:col>8</xdr:col>
      <xdr:colOff>0</xdr:colOff>
      <xdr:row>61</xdr:row>
      <xdr:rowOff>152400</xdr:rowOff>
    </xdr:to>
    <xdr:sp>
      <xdr:nvSpPr>
        <xdr:cNvPr id="2" name="Text Box 7"/>
        <xdr:cNvSpPr txBox="1">
          <a:spLocks noChangeArrowheads="1"/>
        </xdr:cNvSpPr>
      </xdr:nvSpPr>
      <xdr:spPr>
        <a:xfrm>
          <a:off x="47625" y="13411200"/>
          <a:ext cx="8115300" cy="5524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Secretaria de Estado de Transportes e Obras Públicas  - SETOP - MG
</a:t>
          </a:r>
          <a:r>
            <a:rPr lang="en-US" cap="none" sz="800" b="0" i="0" u="none" baseline="0">
              <a:solidFill>
                <a:srgbClr val="000000"/>
              </a:solidFill>
              <a:latin typeface="Arial"/>
              <a:ea typeface="Arial"/>
              <a:cs typeface="Arial"/>
            </a:rPr>
            <a:t>Internet: www.transportes.mg.gov.br / E-mail: dco@transportes.mg.gov.br
</a:t>
          </a:r>
          <a:r>
            <a:rPr lang="en-US" cap="none" sz="800" b="0" i="0" u="none" baseline="0">
              <a:solidFill>
                <a:srgbClr val="000000"/>
              </a:solidFill>
              <a:latin typeface="Arial"/>
              <a:ea typeface="Arial"/>
              <a:cs typeface="Arial"/>
            </a:rPr>
            <a:t>Fone Geral: (31) 3239-0999 - Fax: (31) 3239-0899
</a:t>
          </a:r>
          <a:r>
            <a:rPr lang="en-US" cap="none" sz="800" b="0" i="0" u="none" baseline="0">
              <a:solidFill>
                <a:srgbClr val="000000"/>
              </a:solidFill>
              <a:latin typeface="Arial"/>
              <a:ea typeface="Arial"/>
              <a:cs typeface="Arial"/>
            </a:rPr>
            <a:t>Sede: Rua Manaus, nº 467 - Bairro Santa Efigênia - CEP 30150-350 - Belo Horizonte - MG</a:t>
          </a:r>
        </a:p>
      </xdr:txBody>
    </xdr:sp>
    <xdr:clientData/>
  </xdr:twoCellAnchor>
  <xdr:twoCellAnchor editAs="oneCell">
    <xdr:from>
      <xdr:col>0</xdr:col>
      <xdr:colOff>361950</xdr:colOff>
      <xdr:row>0</xdr:row>
      <xdr:rowOff>85725</xdr:rowOff>
    </xdr:from>
    <xdr:to>
      <xdr:col>2</xdr:col>
      <xdr:colOff>133350</xdr:colOff>
      <xdr:row>0</xdr:row>
      <xdr:rowOff>704850</xdr:rowOff>
    </xdr:to>
    <xdr:pic>
      <xdr:nvPicPr>
        <xdr:cNvPr id="3" name="Object 3"/>
        <xdr:cNvPicPr preferRelativeResize="1">
          <a:picLocks noChangeAspect="1"/>
        </xdr:cNvPicPr>
      </xdr:nvPicPr>
      <xdr:blipFill>
        <a:blip r:embed="rId1"/>
        <a:srcRect b="14472"/>
        <a:stretch>
          <a:fillRect/>
        </a:stretch>
      </xdr:blipFill>
      <xdr:spPr>
        <a:xfrm>
          <a:off x="361950" y="85725"/>
          <a:ext cx="8477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7</xdr:col>
      <xdr:colOff>771525</xdr:colOff>
      <xdr:row>1</xdr:row>
      <xdr:rowOff>685800</xdr:rowOff>
    </xdr:to>
    <xdr:sp>
      <xdr:nvSpPr>
        <xdr:cNvPr id="1" name="Text Box 6"/>
        <xdr:cNvSpPr txBox="1">
          <a:spLocks noChangeArrowheads="1"/>
        </xdr:cNvSpPr>
      </xdr:nvSpPr>
      <xdr:spPr>
        <a:xfrm>
          <a:off x="85725" y="66675"/>
          <a:ext cx="8401050" cy="781050"/>
        </a:xfrm>
        <a:prstGeom prst="rect">
          <a:avLst/>
        </a:prstGeom>
        <a:noFill/>
        <a:ln w="9525" cmpd="sng">
          <a:noFill/>
        </a:ln>
      </xdr:spPr>
      <xdr:txBody>
        <a:bodyPr vertOverflow="clip" wrap="square" lIns="27432" tIns="22860" rIns="0" bIns="0" anchor="ctr"/>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showGridLines="0" showZeros="0" view="pageBreakPreview" zoomScaleSheetLayoutView="100" zoomScalePageLayoutView="0" workbookViewId="0" topLeftCell="A7">
      <selection activeCell="A4" sqref="A4:L4"/>
    </sheetView>
  </sheetViews>
  <sheetFormatPr defaultColWidth="9.140625" defaultRowHeight="12.75"/>
  <cols>
    <col min="1" max="1" width="5.421875" style="0" bestFit="1" customWidth="1"/>
    <col min="2" max="2" width="10.7109375" style="0" bestFit="1" customWidth="1"/>
    <col min="3" max="3" width="48.00390625" style="0" customWidth="1"/>
    <col min="5" max="8" width="12.28125" style="0" customWidth="1"/>
    <col min="10" max="10" width="13.140625" style="0" bestFit="1" customWidth="1"/>
  </cols>
  <sheetData>
    <row r="1" spans="1:8" ht="60.75" customHeight="1" thickBot="1">
      <c r="A1" s="200"/>
      <c r="B1" s="200"/>
      <c r="C1" s="199"/>
      <c r="D1" s="199"/>
      <c r="E1" s="199"/>
      <c r="F1" s="199"/>
      <c r="G1" s="199"/>
      <c r="H1" s="199"/>
    </row>
    <row r="2" spans="1:8" ht="15.75" thickBot="1">
      <c r="A2" s="168" t="s">
        <v>41</v>
      </c>
      <c r="B2" s="169"/>
      <c r="C2" s="169"/>
      <c r="D2" s="169"/>
      <c r="E2" s="169"/>
      <c r="F2" s="169"/>
      <c r="G2" s="169"/>
      <c r="H2" s="170"/>
    </row>
    <row r="3" spans="1:8" ht="3.75" customHeight="1" thickBot="1">
      <c r="A3" s="194"/>
      <c r="B3" s="194"/>
      <c r="C3" s="194"/>
      <c r="D3" s="194"/>
      <c r="E3" s="194"/>
      <c r="F3" s="194"/>
      <c r="G3" s="194"/>
      <c r="H3" s="194"/>
    </row>
    <row r="4" spans="1:8" ht="19.5" customHeight="1" thickBot="1">
      <c r="A4" s="187" t="s">
        <v>4</v>
      </c>
      <c r="B4" s="188"/>
      <c r="C4" s="188"/>
      <c r="D4" s="188"/>
      <c r="E4" s="188"/>
      <c r="F4" s="188"/>
      <c r="G4" s="188"/>
      <c r="H4" s="189"/>
    </row>
    <row r="5" spans="1:8" ht="3.75" customHeight="1" thickBot="1">
      <c r="A5" s="11"/>
      <c r="B5" s="11"/>
      <c r="C5" s="11"/>
      <c r="D5" s="11"/>
      <c r="E5" s="11"/>
      <c r="F5" s="11"/>
      <c r="G5" s="11"/>
      <c r="H5" s="11"/>
    </row>
    <row r="6" spans="1:8" ht="19.5" customHeight="1">
      <c r="A6" s="178" t="s">
        <v>28</v>
      </c>
      <c r="B6" s="179"/>
      <c r="C6" s="179"/>
      <c r="D6" s="179"/>
      <c r="E6" s="180"/>
      <c r="F6" s="190" t="s">
        <v>25</v>
      </c>
      <c r="G6" s="191"/>
      <c r="H6" s="192"/>
    </row>
    <row r="7" spans="1:8" ht="19.5" customHeight="1">
      <c r="A7" s="181" t="s">
        <v>42</v>
      </c>
      <c r="B7" s="182"/>
      <c r="C7" s="182"/>
      <c r="D7" s="182"/>
      <c r="E7" s="183"/>
      <c r="F7" s="175" t="s">
        <v>43</v>
      </c>
      <c r="G7" s="176"/>
      <c r="H7" s="177"/>
    </row>
    <row r="8" spans="1:8" ht="12.75">
      <c r="A8" s="201" t="s">
        <v>97</v>
      </c>
      <c r="B8" s="202"/>
      <c r="C8" s="202"/>
      <c r="D8" s="203"/>
      <c r="E8" s="184" t="s">
        <v>12</v>
      </c>
      <c r="F8" s="185"/>
      <c r="G8" s="185"/>
      <c r="H8" s="186"/>
    </row>
    <row r="9" spans="1:8" ht="19.5" customHeight="1">
      <c r="A9" s="201" t="s">
        <v>44</v>
      </c>
      <c r="B9" s="202"/>
      <c r="C9" s="202"/>
      <c r="D9" s="203"/>
      <c r="E9" s="173" t="s">
        <v>8</v>
      </c>
      <c r="F9" s="171" t="s">
        <v>6</v>
      </c>
      <c r="G9" s="10" t="s">
        <v>26</v>
      </c>
      <c r="H9" s="7" t="s">
        <v>7</v>
      </c>
    </row>
    <row r="10" spans="1:8" ht="19.5" customHeight="1" thickBot="1">
      <c r="A10" s="204" t="s">
        <v>45</v>
      </c>
      <c r="B10" s="205"/>
      <c r="C10" s="205"/>
      <c r="D10" s="206"/>
      <c r="E10" s="174"/>
      <c r="F10" s="172"/>
      <c r="G10" s="12" t="s">
        <v>9</v>
      </c>
      <c r="H10" s="43" t="e">
        <f>#REF!</f>
        <v>#REF!</v>
      </c>
    </row>
    <row r="11" spans="1:8" ht="3.75" customHeight="1" thickBot="1">
      <c r="A11" s="193"/>
      <c r="B11" s="193"/>
      <c r="C11" s="193"/>
      <c r="D11" s="193"/>
      <c r="E11" s="193"/>
      <c r="F11" s="193"/>
      <c r="G11" s="193"/>
      <c r="H11" s="193"/>
    </row>
    <row r="12" spans="1:8" ht="39.75" thickBot="1">
      <c r="A12" s="2" t="s">
        <v>0</v>
      </c>
      <c r="B12" s="3" t="s">
        <v>5</v>
      </c>
      <c r="C12" s="3" t="s">
        <v>1</v>
      </c>
      <c r="D12" s="3" t="s">
        <v>3</v>
      </c>
      <c r="E12" s="3" t="s">
        <v>2</v>
      </c>
      <c r="F12" s="4" t="s">
        <v>13</v>
      </c>
      <c r="G12" s="4" t="s">
        <v>14</v>
      </c>
      <c r="H12" s="5" t="s">
        <v>10</v>
      </c>
    </row>
    <row r="13" spans="1:8" s="25" customFormat="1" ht="18" customHeight="1">
      <c r="A13" s="26">
        <v>1</v>
      </c>
      <c r="B13" s="27"/>
      <c r="C13" s="28" t="s">
        <v>46</v>
      </c>
      <c r="D13" s="29"/>
      <c r="E13" s="30"/>
      <c r="F13" s="30"/>
      <c r="G13" s="30"/>
      <c r="H13" s="31"/>
    </row>
    <row r="14" spans="1:9" ht="30">
      <c r="A14" s="13" t="s">
        <v>16</v>
      </c>
      <c r="B14" s="32" t="s">
        <v>47</v>
      </c>
      <c r="C14" s="33" t="s">
        <v>48</v>
      </c>
      <c r="D14" s="14" t="s">
        <v>49</v>
      </c>
      <c r="E14" s="15">
        <f>713.51</f>
        <v>713.51</v>
      </c>
      <c r="F14" s="15">
        <v>50.34</v>
      </c>
      <c r="G14" s="15" t="e">
        <f>F14+(F14*$H$10)</f>
        <v>#REF!</v>
      </c>
      <c r="H14" s="16" t="e">
        <f>E14*G14</f>
        <v>#REF!</v>
      </c>
      <c r="I14" s="24"/>
    </row>
    <row r="15" spans="1:8" ht="18" customHeight="1">
      <c r="A15" s="13" t="s">
        <v>18</v>
      </c>
      <c r="B15" s="32" t="s">
        <v>50</v>
      </c>
      <c r="C15" s="33" t="s">
        <v>51</v>
      </c>
      <c r="D15" s="14" t="s">
        <v>49</v>
      </c>
      <c r="E15" s="15">
        <v>999.18</v>
      </c>
      <c r="F15" s="15">
        <v>10.13</v>
      </c>
      <c r="G15" s="15" t="e">
        <f aca="true" t="shared" si="0" ref="G15:G48">F15+(F15*$H$10)</f>
        <v>#REF!</v>
      </c>
      <c r="H15" s="16" t="e">
        <f aca="true" t="shared" si="1" ref="H15:H49">E15*G15</f>
        <v>#REF!</v>
      </c>
    </row>
    <row r="16" spans="1:8" ht="18" customHeight="1">
      <c r="A16" s="34"/>
      <c r="B16" s="35"/>
      <c r="C16" s="36"/>
      <c r="D16" s="14"/>
      <c r="E16" s="15"/>
      <c r="F16" s="15"/>
      <c r="G16" s="15" t="e">
        <f t="shared" si="0"/>
        <v>#REF!</v>
      </c>
      <c r="H16" s="16" t="e">
        <f t="shared" si="1"/>
        <v>#REF!</v>
      </c>
    </row>
    <row r="17" spans="1:8" s="47" customFormat="1" ht="12.75">
      <c r="A17" s="34">
        <v>2</v>
      </c>
      <c r="B17" s="35"/>
      <c r="C17" s="36" t="s">
        <v>52</v>
      </c>
      <c r="D17" s="44"/>
      <c r="E17" s="45"/>
      <c r="F17" s="45"/>
      <c r="G17" s="45" t="e">
        <f t="shared" si="0"/>
        <v>#REF!</v>
      </c>
      <c r="H17" s="46" t="e">
        <f t="shared" si="1"/>
        <v>#REF!</v>
      </c>
    </row>
    <row r="18" spans="1:8" s="25" customFormat="1" ht="20.25">
      <c r="A18" s="13" t="s">
        <v>19</v>
      </c>
      <c r="B18" s="37" t="s">
        <v>53</v>
      </c>
      <c r="C18" s="33" t="s">
        <v>54</v>
      </c>
      <c r="D18" s="14" t="s">
        <v>49</v>
      </c>
      <c r="E18" s="15">
        <v>232.74</v>
      </c>
      <c r="F18" s="15">
        <v>3.51</v>
      </c>
      <c r="G18" s="15" t="e">
        <f t="shared" si="0"/>
        <v>#REF!</v>
      </c>
      <c r="H18" s="16" t="e">
        <f t="shared" si="1"/>
        <v>#REF!</v>
      </c>
    </row>
    <row r="19" spans="1:8" ht="20.25">
      <c r="A19" s="13" t="s">
        <v>20</v>
      </c>
      <c r="B19" s="37" t="s">
        <v>55</v>
      </c>
      <c r="C19" s="33" t="s">
        <v>56</v>
      </c>
      <c r="D19" s="14" t="s">
        <v>49</v>
      </c>
      <c r="E19" s="15">
        <f>E18</f>
        <v>232.74</v>
      </c>
      <c r="F19" s="15">
        <v>9.85</v>
      </c>
      <c r="G19" s="15" t="e">
        <f t="shared" si="0"/>
        <v>#REF!</v>
      </c>
      <c r="H19" s="16" t="e">
        <f t="shared" si="1"/>
        <v>#REF!</v>
      </c>
    </row>
    <row r="20" spans="1:8" ht="12.75">
      <c r="A20" s="49" t="s">
        <v>21</v>
      </c>
      <c r="B20" s="50"/>
      <c r="C20" s="51" t="s">
        <v>57</v>
      </c>
      <c r="D20" s="37"/>
      <c r="E20" s="15"/>
      <c r="F20" s="15"/>
      <c r="G20" s="15" t="e">
        <f t="shared" si="0"/>
        <v>#REF!</v>
      </c>
      <c r="H20" s="16" t="e">
        <f t="shared" si="1"/>
        <v>#REF!</v>
      </c>
    </row>
    <row r="21" spans="1:8" ht="20.25">
      <c r="A21" s="13" t="s">
        <v>33</v>
      </c>
      <c r="B21" s="37" t="s">
        <v>58</v>
      </c>
      <c r="C21" s="33" t="s">
        <v>59</v>
      </c>
      <c r="D21" s="37" t="s">
        <v>49</v>
      </c>
      <c r="E21" s="15">
        <f>(65*0.2*1.25*4)</f>
        <v>65</v>
      </c>
      <c r="F21" s="15">
        <v>52.26</v>
      </c>
      <c r="G21" s="15" t="e">
        <f t="shared" si="0"/>
        <v>#REF!</v>
      </c>
      <c r="H21" s="16" t="e">
        <f t="shared" si="1"/>
        <v>#REF!</v>
      </c>
    </row>
    <row r="22" spans="1:8" ht="30">
      <c r="A22" s="13" t="s">
        <v>61</v>
      </c>
      <c r="B22" s="37" t="s">
        <v>60</v>
      </c>
      <c r="C22" s="33" t="s">
        <v>62</v>
      </c>
      <c r="D22" s="14" t="s">
        <v>31</v>
      </c>
      <c r="E22" s="15">
        <f>65*0.2*0.2*1.25</f>
        <v>3.25</v>
      </c>
      <c r="F22" s="15">
        <v>292.74</v>
      </c>
      <c r="G22" s="15" t="e">
        <f t="shared" si="0"/>
        <v>#REF!</v>
      </c>
      <c r="H22" s="16" t="e">
        <f t="shared" si="1"/>
        <v>#REF!</v>
      </c>
    </row>
    <row r="23" spans="1:8" ht="20.25">
      <c r="A23" s="13" t="s">
        <v>63</v>
      </c>
      <c r="B23" s="37" t="s">
        <v>89</v>
      </c>
      <c r="C23" s="33" t="s">
        <v>88</v>
      </c>
      <c r="D23" s="37" t="s">
        <v>15</v>
      </c>
      <c r="E23" s="15">
        <f>((139.44-(65*0.2))*0.4)</f>
        <v>50.576</v>
      </c>
      <c r="F23" s="15">
        <v>47.94</v>
      </c>
      <c r="G23" s="15" t="e">
        <f t="shared" si="0"/>
        <v>#REF!</v>
      </c>
      <c r="H23" s="16" t="e">
        <f t="shared" si="1"/>
        <v>#REF!</v>
      </c>
    </row>
    <row r="24" spans="1:8" ht="20.25">
      <c r="A24" s="13" t="s">
        <v>69</v>
      </c>
      <c r="B24" s="37" t="s">
        <v>64</v>
      </c>
      <c r="C24" s="33" t="s">
        <v>65</v>
      </c>
      <c r="D24" s="37" t="s">
        <v>15</v>
      </c>
      <c r="E24" s="15">
        <f>E23*2</f>
        <v>101.152</v>
      </c>
      <c r="F24" s="15">
        <v>7.38</v>
      </c>
      <c r="G24" s="15" t="e">
        <f t="shared" si="0"/>
        <v>#REF!</v>
      </c>
      <c r="H24" s="16" t="e">
        <f t="shared" si="1"/>
        <v>#REF!</v>
      </c>
    </row>
    <row r="25" spans="1:8" ht="20.25">
      <c r="A25" s="13" t="s">
        <v>70</v>
      </c>
      <c r="B25" s="37" t="s">
        <v>90</v>
      </c>
      <c r="C25" s="33" t="s">
        <v>66</v>
      </c>
      <c r="D25" s="37" t="s">
        <v>23</v>
      </c>
      <c r="E25" s="15">
        <f>139.44</f>
        <v>139.44</v>
      </c>
      <c r="F25" s="15">
        <v>105.98</v>
      </c>
      <c r="G25" s="15" t="e">
        <f t="shared" si="0"/>
        <v>#REF!</v>
      </c>
      <c r="H25" s="16" t="e">
        <f t="shared" si="1"/>
        <v>#REF!</v>
      </c>
    </row>
    <row r="26" spans="1:8" ht="20.25">
      <c r="A26" s="13" t="s">
        <v>71</v>
      </c>
      <c r="B26" s="37" t="s">
        <v>92</v>
      </c>
      <c r="C26" s="33" t="s">
        <v>91</v>
      </c>
      <c r="D26" s="37" t="s">
        <v>23</v>
      </c>
      <c r="E26" s="15">
        <f>(E25/0.8)*0.75</f>
        <v>130.725</v>
      </c>
      <c r="F26" s="15">
        <v>42.6</v>
      </c>
      <c r="G26" s="15" t="e">
        <f>F26+(F26*$H$10)</f>
        <v>#REF!</v>
      </c>
      <c r="H26" s="16" t="e">
        <f>E26*G26</f>
        <v>#REF!</v>
      </c>
    </row>
    <row r="27" spans="1:9" ht="20.25">
      <c r="A27" s="13" t="s">
        <v>93</v>
      </c>
      <c r="B27" s="37" t="s">
        <v>67</v>
      </c>
      <c r="C27" s="33" t="s">
        <v>72</v>
      </c>
      <c r="D27" s="37" t="s">
        <v>68</v>
      </c>
      <c r="E27" s="15">
        <f>E25+E26</f>
        <v>270.16499999999996</v>
      </c>
      <c r="F27" s="15">
        <v>9.41</v>
      </c>
      <c r="G27" s="15" t="e">
        <f t="shared" si="0"/>
        <v>#REF!</v>
      </c>
      <c r="H27" s="16" t="e">
        <f t="shared" si="1"/>
        <v>#REF!</v>
      </c>
      <c r="I27" s="24"/>
    </row>
    <row r="28" spans="1:9" ht="12.75">
      <c r="A28" s="13"/>
      <c r="B28" s="37"/>
      <c r="C28" s="33"/>
      <c r="D28" s="37"/>
      <c r="E28" s="15"/>
      <c r="F28" s="15"/>
      <c r="G28" s="15" t="e">
        <f t="shared" si="0"/>
        <v>#REF!</v>
      </c>
      <c r="H28" s="16" t="e">
        <f t="shared" si="1"/>
        <v>#REF!</v>
      </c>
      <c r="I28" s="24"/>
    </row>
    <row r="29" spans="1:9" s="59" customFormat="1" ht="12.75">
      <c r="A29" s="53">
        <v>3</v>
      </c>
      <c r="B29" s="54"/>
      <c r="C29" s="55" t="s">
        <v>73</v>
      </c>
      <c r="D29" s="54"/>
      <c r="E29" s="56"/>
      <c r="F29" s="56"/>
      <c r="G29" s="56" t="e">
        <f>F29+(F29*$H$10)</f>
        <v>#REF!</v>
      </c>
      <c r="H29" s="57" t="e">
        <f>E29*G29</f>
        <v>#REF!</v>
      </c>
      <c r="I29" s="58"/>
    </row>
    <row r="30" spans="1:9" s="59" customFormat="1" ht="30">
      <c r="A30" s="60" t="s">
        <v>22</v>
      </c>
      <c r="B30" s="61" t="s">
        <v>75</v>
      </c>
      <c r="C30" s="62" t="s">
        <v>76</v>
      </c>
      <c r="D30" s="63" t="s">
        <v>74</v>
      </c>
      <c r="E30" s="64">
        <v>4</v>
      </c>
      <c r="F30" s="64">
        <v>1384.57</v>
      </c>
      <c r="G30" s="64" t="e">
        <f>F30+(F30*$H$10)</f>
        <v>#REF!</v>
      </c>
      <c r="H30" s="65" t="e">
        <f>E30*G30</f>
        <v>#REF!</v>
      </c>
      <c r="I30" s="58"/>
    </row>
    <row r="31" spans="1:9" s="59" customFormat="1" ht="12.75">
      <c r="A31" s="60" t="s">
        <v>94</v>
      </c>
      <c r="B31" s="61" t="s">
        <v>100</v>
      </c>
      <c r="C31" s="62" t="s">
        <v>101</v>
      </c>
      <c r="D31" s="63" t="s">
        <v>74</v>
      </c>
      <c r="E31" s="64">
        <v>4</v>
      </c>
      <c r="F31" s="64">
        <v>44.3</v>
      </c>
      <c r="G31" s="64" t="e">
        <f>F31+(F31*$H$10)</f>
        <v>#REF!</v>
      </c>
      <c r="H31" s="65" t="e">
        <f>E31*G31</f>
        <v>#REF!</v>
      </c>
      <c r="I31" s="58"/>
    </row>
    <row r="32" spans="1:8" s="59" customFormat="1" ht="20.25">
      <c r="A32" s="60" t="s">
        <v>94</v>
      </c>
      <c r="B32" s="66" t="s">
        <v>82</v>
      </c>
      <c r="C32" s="62" t="s">
        <v>83</v>
      </c>
      <c r="D32" s="63" t="s">
        <v>74</v>
      </c>
      <c r="E32" s="64">
        <v>4</v>
      </c>
      <c r="F32" s="64">
        <v>274.83</v>
      </c>
      <c r="G32" s="64" t="e">
        <f t="shared" si="0"/>
        <v>#REF!</v>
      </c>
      <c r="H32" s="65" t="e">
        <f t="shared" si="1"/>
        <v>#REF!</v>
      </c>
    </row>
    <row r="33" spans="1:8" s="59" customFormat="1" ht="20.25">
      <c r="A33" s="60" t="s">
        <v>95</v>
      </c>
      <c r="B33" s="66" t="s">
        <v>84</v>
      </c>
      <c r="C33" s="62" t="s">
        <v>85</v>
      </c>
      <c r="D33" s="63" t="s">
        <v>68</v>
      </c>
      <c r="E33" s="64">
        <v>67.6095</v>
      </c>
      <c r="F33" s="64">
        <v>11.2</v>
      </c>
      <c r="G33" s="64" t="e">
        <f>F33+(F33*$H$10)</f>
        <v>#REF!</v>
      </c>
      <c r="H33" s="65" t="e">
        <f>E33*G33</f>
        <v>#REF!</v>
      </c>
    </row>
    <row r="34" spans="1:8" s="59" customFormat="1" ht="20.25">
      <c r="A34" s="60" t="s">
        <v>96</v>
      </c>
      <c r="B34" s="66" t="s">
        <v>86</v>
      </c>
      <c r="C34" s="62" t="s">
        <v>87</v>
      </c>
      <c r="D34" s="63" t="s">
        <v>68</v>
      </c>
      <c r="E34" s="64">
        <f>E33*3</f>
        <v>202.8285</v>
      </c>
      <c r="F34" s="64">
        <v>5.33</v>
      </c>
      <c r="G34" s="64" t="e">
        <f>F34+(F34*$H$10)</f>
        <v>#REF!</v>
      </c>
      <c r="H34" s="65" t="e">
        <f>E34*G34</f>
        <v>#REF!</v>
      </c>
    </row>
    <row r="35" spans="1:8" s="59" customFormat="1" ht="20.25">
      <c r="A35" s="60"/>
      <c r="B35" s="66" t="s">
        <v>98</v>
      </c>
      <c r="C35" s="62" t="s">
        <v>99</v>
      </c>
      <c r="D35" s="63" t="s">
        <v>74</v>
      </c>
      <c r="E35" s="64">
        <v>1</v>
      </c>
      <c r="F35" s="64">
        <v>1707.84</v>
      </c>
      <c r="G35" s="64" t="e">
        <f>F35+(F35*$H$10)</f>
        <v>#REF!</v>
      </c>
      <c r="H35" s="65" t="e">
        <f>E35*G35</f>
        <v>#REF!</v>
      </c>
    </row>
    <row r="36" spans="1:8" ht="18" customHeight="1">
      <c r="A36" s="34"/>
      <c r="B36" s="35"/>
      <c r="C36" s="36"/>
      <c r="D36" s="14"/>
      <c r="E36" s="15"/>
      <c r="F36" s="15"/>
      <c r="G36" s="15" t="e">
        <f t="shared" si="0"/>
        <v>#REF!</v>
      </c>
      <c r="H36" s="16" t="e">
        <f t="shared" si="1"/>
        <v>#REF!</v>
      </c>
    </row>
    <row r="37" spans="1:8" ht="18" customHeight="1">
      <c r="A37" s="34">
        <v>4</v>
      </c>
      <c r="B37" s="48"/>
      <c r="C37" s="36" t="s">
        <v>78</v>
      </c>
      <c r="D37" s="44"/>
      <c r="E37" s="45"/>
      <c r="F37" s="45"/>
      <c r="G37" s="45" t="e">
        <f t="shared" si="0"/>
        <v>#REF!</v>
      </c>
      <c r="H37" s="46" t="e">
        <f t="shared" si="1"/>
        <v>#REF!</v>
      </c>
    </row>
    <row r="38" spans="1:8" ht="18" customHeight="1">
      <c r="A38" s="13" t="s">
        <v>81</v>
      </c>
      <c r="B38" s="32" t="s">
        <v>80</v>
      </c>
      <c r="C38" s="33" t="s">
        <v>79</v>
      </c>
      <c r="D38" s="14" t="s">
        <v>77</v>
      </c>
      <c r="E38" s="15"/>
      <c r="F38" s="15">
        <v>292.72</v>
      </c>
      <c r="G38" s="15" t="e">
        <f t="shared" si="0"/>
        <v>#REF!</v>
      </c>
      <c r="H38" s="16" t="e">
        <f t="shared" si="1"/>
        <v>#REF!</v>
      </c>
    </row>
    <row r="39" spans="1:8" ht="18" customHeight="1">
      <c r="A39" s="34"/>
      <c r="B39" s="35"/>
      <c r="C39" s="36"/>
      <c r="D39" s="14"/>
      <c r="E39" s="15"/>
      <c r="F39" s="15"/>
      <c r="G39" s="15" t="e">
        <f t="shared" si="0"/>
        <v>#REF!</v>
      </c>
      <c r="H39" s="16" t="e">
        <f t="shared" si="1"/>
        <v>#REF!</v>
      </c>
    </row>
    <row r="40" spans="1:8" ht="12.75">
      <c r="A40" s="13"/>
      <c r="B40" s="37"/>
      <c r="C40" s="33"/>
      <c r="D40" s="14"/>
      <c r="E40" s="15"/>
      <c r="F40" s="15"/>
      <c r="G40" s="15" t="e">
        <f t="shared" si="0"/>
        <v>#REF!</v>
      </c>
      <c r="H40" s="16" t="e">
        <f t="shared" si="1"/>
        <v>#REF!</v>
      </c>
    </row>
    <row r="41" spans="1:8" ht="18" customHeight="1">
      <c r="A41" s="13"/>
      <c r="B41" s="32"/>
      <c r="C41" s="33"/>
      <c r="D41" s="14"/>
      <c r="E41" s="15"/>
      <c r="F41" s="15"/>
      <c r="G41" s="15" t="e">
        <f t="shared" si="0"/>
        <v>#REF!</v>
      </c>
      <c r="H41" s="16" t="e">
        <f t="shared" si="1"/>
        <v>#REF!</v>
      </c>
    </row>
    <row r="42" spans="1:8" ht="18" customHeight="1">
      <c r="A42" s="13"/>
      <c r="B42" s="32"/>
      <c r="C42" s="33"/>
      <c r="D42" s="14"/>
      <c r="E42" s="15"/>
      <c r="F42" s="15"/>
      <c r="G42" s="15" t="e">
        <f t="shared" si="0"/>
        <v>#REF!</v>
      </c>
      <c r="H42" s="16" t="e">
        <f t="shared" si="1"/>
        <v>#REF!</v>
      </c>
    </row>
    <row r="43" spans="1:8" ht="18" customHeight="1">
      <c r="A43" s="13"/>
      <c r="B43" s="32"/>
      <c r="C43" s="33"/>
      <c r="D43" s="14"/>
      <c r="E43" s="15"/>
      <c r="F43" s="15"/>
      <c r="G43" s="15" t="e">
        <f t="shared" si="0"/>
        <v>#REF!</v>
      </c>
      <c r="H43" s="16" t="e">
        <f t="shared" si="1"/>
        <v>#REF!</v>
      </c>
    </row>
    <row r="44" spans="1:8" ht="18" customHeight="1">
      <c r="A44" s="13"/>
      <c r="B44" s="32"/>
      <c r="C44" s="38"/>
      <c r="D44" s="14"/>
      <c r="E44" s="15"/>
      <c r="F44" s="15"/>
      <c r="G44" s="15" t="e">
        <f t="shared" si="0"/>
        <v>#REF!</v>
      </c>
      <c r="H44" s="16" t="e">
        <f t="shared" si="1"/>
        <v>#REF!</v>
      </c>
    </row>
    <row r="45" spans="1:8" ht="18" customHeight="1">
      <c r="A45" s="13"/>
      <c r="B45" s="32"/>
      <c r="C45" s="33"/>
      <c r="D45" s="14"/>
      <c r="E45" s="15"/>
      <c r="F45" s="15"/>
      <c r="G45" s="15" t="e">
        <f t="shared" si="0"/>
        <v>#REF!</v>
      </c>
      <c r="H45" s="16" t="e">
        <f t="shared" si="1"/>
        <v>#REF!</v>
      </c>
    </row>
    <row r="46" spans="1:8" ht="18" customHeight="1">
      <c r="A46" s="13"/>
      <c r="B46" s="32"/>
      <c r="C46" s="33"/>
      <c r="D46" s="14"/>
      <c r="E46" s="15"/>
      <c r="F46" s="15"/>
      <c r="G46" s="15" t="e">
        <f t="shared" si="0"/>
        <v>#REF!</v>
      </c>
      <c r="H46" s="16" t="e">
        <f t="shared" si="1"/>
        <v>#REF!</v>
      </c>
    </row>
    <row r="47" spans="1:8" ht="18" customHeight="1">
      <c r="A47" s="13"/>
      <c r="B47" s="32"/>
      <c r="C47" s="33"/>
      <c r="D47" s="14"/>
      <c r="E47" s="15"/>
      <c r="F47" s="15"/>
      <c r="G47" s="15" t="e">
        <f t="shared" si="0"/>
        <v>#REF!</v>
      </c>
      <c r="H47" s="16" t="e">
        <f t="shared" si="1"/>
        <v>#REF!</v>
      </c>
    </row>
    <row r="48" spans="1:8" ht="18" customHeight="1">
      <c r="A48" s="13"/>
      <c r="B48" s="32"/>
      <c r="C48" s="33"/>
      <c r="D48" s="17"/>
      <c r="E48" s="15"/>
      <c r="F48" s="15"/>
      <c r="G48" s="15" t="e">
        <f t="shared" si="0"/>
        <v>#REF!</v>
      </c>
      <c r="H48" s="16" t="e">
        <f t="shared" si="1"/>
        <v>#REF!</v>
      </c>
    </row>
    <row r="49" spans="1:8" ht="18" customHeight="1" thickBot="1">
      <c r="A49" s="39"/>
      <c r="B49" s="40"/>
      <c r="C49" s="41"/>
      <c r="D49" s="20"/>
      <c r="E49" s="21"/>
      <c r="F49" s="18"/>
      <c r="G49" s="18" t="e">
        <f>F49*$H$10</f>
        <v>#REF!</v>
      </c>
      <c r="H49" s="19" t="e">
        <f t="shared" si="1"/>
        <v>#REF!</v>
      </c>
    </row>
    <row r="50" spans="1:10" ht="18" customHeight="1" thickBot="1">
      <c r="A50" s="207" t="s">
        <v>24</v>
      </c>
      <c r="B50" s="208"/>
      <c r="C50" s="208"/>
      <c r="D50" s="208"/>
      <c r="E50" s="208"/>
      <c r="F50" s="208"/>
      <c r="G50" s="208"/>
      <c r="H50" s="42" t="e">
        <f>SUM(H13:H49)</f>
        <v>#REF!</v>
      </c>
      <c r="J50" s="52">
        <v>114842.08</v>
      </c>
    </row>
    <row r="51" spans="1:10" ht="14.25" customHeight="1">
      <c r="A51" s="22"/>
      <c r="B51" s="22"/>
      <c r="C51" s="22"/>
      <c r="D51" s="22"/>
      <c r="E51" s="22"/>
      <c r="F51" s="22"/>
      <c r="G51" s="22"/>
      <c r="H51" s="23"/>
      <c r="J51" s="52" t="e">
        <f>J50-H50</f>
        <v>#REF!</v>
      </c>
    </row>
    <row r="52" spans="1:8" ht="11.25" customHeight="1">
      <c r="A52" s="1"/>
      <c r="B52" s="1"/>
      <c r="C52" s="1"/>
      <c r="D52" s="1"/>
      <c r="E52" s="1"/>
      <c r="F52" s="1"/>
      <c r="G52" s="1"/>
      <c r="H52" s="1"/>
    </row>
    <row r="53" spans="1:8" ht="11.25" customHeight="1">
      <c r="A53" s="1"/>
      <c r="B53" s="198"/>
      <c r="C53" s="198"/>
      <c r="D53" s="1"/>
      <c r="E53" s="198" t="s">
        <v>30</v>
      </c>
      <c r="F53" s="198"/>
      <c r="G53" s="8"/>
      <c r="H53" s="1"/>
    </row>
    <row r="54" spans="1:8" ht="12.75">
      <c r="A54" s="6"/>
      <c r="B54" s="196" t="s">
        <v>29</v>
      </c>
      <c r="C54" s="196"/>
      <c r="D54" s="6"/>
      <c r="E54" s="197" t="s">
        <v>11</v>
      </c>
      <c r="F54" s="197"/>
      <c r="G54" s="9"/>
      <c r="H54" s="6"/>
    </row>
    <row r="57" spans="1:8" ht="11.25" customHeight="1">
      <c r="A57" s="1"/>
      <c r="B57" s="198"/>
      <c r="C57" s="198"/>
      <c r="D57" s="1"/>
      <c r="E57" s="195"/>
      <c r="F57" s="195"/>
      <c r="G57" s="8"/>
      <c r="H57" s="1"/>
    </row>
    <row r="58" spans="1:8" ht="12.75">
      <c r="A58" s="6"/>
      <c r="B58" s="196" t="s">
        <v>40</v>
      </c>
      <c r="C58" s="196"/>
      <c r="D58" s="6"/>
      <c r="E58" s="197"/>
      <c r="F58" s="197"/>
      <c r="G58" s="9"/>
      <c r="H58" s="6"/>
    </row>
    <row r="59" ht="12" customHeight="1"/>
    <row r="60" ht="11.25" customHeight="1"/>
    <row r="61" ht="12" customHeight="1"/>
    <row r="62" ht="13.5" customHeight="1"/>
    <row r="63" ht="4.5" customHeight="1"/>
  </sheetData>
  <sheetProtection/>
  <mergeCells count="25">
    <mergeCell ref="C1:H1"/>
    <mergeCell ref="A1:B1"/>
    <mergeCell ref="B54:C54"/>
    <mergeCell ref="E54:F54"/>
    <mergeCell ref="E53:F53"/>
    <mergeCell ref="B53:C53"/>
    <mergeCell ref="A8:D8"/>
    <mergeCell ref="A10:D10"/>
    <mergeCell ref="A9:D9"/>
    <mergeCell ref="A50:G50"/>
    <mergeCell ref="A11:H11"/>
    <mergeCell ref="A3:H3"/>
    <mergeCell ref="E57:F57"/>
    <mergeCell ref="B58:C58"/>
    <mergeCell ref="E58:F58"/>
    <mergeCell ref="B57:C57"/>
    <mergeCell ref="A2:H2"/>
    <mergeCell ref="F9:F10"/>
    <mergeCell ref="E9:E10"/>
    <mergeCell ref="F7:H7"/>
    <mergeCell ref="A6:E6"/>
    <mergeCell ref="A7:E7"/>
    <mergeCell ref="E8:H8"/>
    <mergeCell ref="A4:H4"/>
    <mergeCell ref="F6:H6"/>
  </mergeCells>
  <printOptions/>
  <pageMargins left="0.7874015748031497" right="0.1968503937007874" top="0.3937007874015748" bottom="0.3937007874015748" header="0" footer="0"/>
  <pageSetup horizontalDpi="600" verticalDpi="600" orientation="portrait" paperSize="9" scale="77" r:id="rId2"/>
  <headerFooter alignWithMargins="0">
    <oddHeader>&amp;R
 &amp;P de &amp;N</oddHeader>
  </headerFooter>
  <rowBreaks count="1" manualBreakCount="1">
    <brk id="35" max="7" man="1"/>
  </rowBreaks>
  <drawing r:id="rId1"/>
</worksheet>
</file>

<file path=xl/worksheets/sheet2.xml><?xml version="1.0" encoding="utf-8"?>
<worksheet xmlns="http://schemas.openxmlformats.org/spreadsheetml/2006/main" xmlns:r="http://schemas.openxmlformats.org/officeDocument/2006/relationships">
  <sheetPr>
    <tabColor rgb="FF7030A0"/>
  </sheetPr>
  <dimension ref="A1:L86"/>
  <sheetViews>
    <sheetView zoomScalePageLayoutView="0" workbookViewId="0" topLeftCell="C19">
      <selection activeCell="L86" sqref="L86"/>
    </sheetView>
  </sheetViews>
  <sheetFormatPr defaultColWidth="9.140625" defaultRowHeight="12.75"/>
  <cols>
    <col min="1" max="1" width="7.8515625" style="0" customWidth="1"/>
    <col min="2" max="2" width="12.7109375" style="0" customWidth="1"/>
    <col min="3" max="3" width="72.28125" style="0" customWidth="1"/>
    <col min="4" max="4" width="7.7109375" style="0" customWidth="1"/>
    <col min="5" max="5" width="9.140625" style="0" hidden="1" customWidth="1"/>
    <col min="7" max="7" width="14.421875" style="0" customWidth="1"/>
    <col min="8" max="8" width="14.421875" style="67" customWidth="1"/>
    <col min="9" max="9" width="14.421875" style="68" customWidth="1"/>
    <col min="10" max="10" width="13.00390625" style="0" customWidth="1"/>
    <col min="11" max="11" width="12.57421875" style="0" customWidth="1"/>
    <col min="12" max="12" width="13.00390625" style="0" customWidth="1"/>
  </cols>
  <sheetData>
    <row r="1" spans="1:12" ht="12.75">
      <c r="A1" s="209" t="s">
        <v>102</v>
      </c>
      <c r="B1" s="209"/>
      <c r="C1" s="209"/>
      <c r="D1" s="209"/>
      <c r="E1" s="209"/>
      <c r="F1" s="209"/>
      <c r="G1" s="209"/>
      <c r="H1" s="209"/>
      <c r="I1" s="209"/>
      <c r="J1" s="209"/>
      <c r="K1" s="209"/>
      <c r="L1" s="209"/>
    </row>
    <row r="2" spans="1:12" ht="12.75">
      <c r="A2" s="210" t="s">
        <v>103</v>
      </c>
      <c r="B2" s="210"/>
      <c r="C2" s="210"/>
      <c r="D2" s="210"/>
      <c r="E2" s="210"/>
      <c r="F2" s="210"/>
      <c r="G2" s="210" t="s">
        <v>104</v>
      </c>
      <c r="H2" s="210"/>
      <c r="I2" s="210"/>
      <c r="J2" s="210"/>
      <c r="K2" s="210"/>
      <c r="L2" s="210"/>
    </row>
    <row r="3" spans="1:12" ht="12.75">
      <c r="A3" s="211" t="s">
        <v>105</v>
      </c>
      <c r="B3" s="211"/>
      <c r="C3" s="211"/>
      <c r="D3" s="211"/>
      <c r="E3" s="211"/>
      <c r="F3" s="211"/>
      <c r="G3" s="212" t="s">
        <v>106</v>
      </c>
      <c r="H3" s="212"/>
      <c r="I3" s="212"/>
      <c r="J3" s="212"/>
      <c r="K3" s="212"/>
      <c r="L3" s="212"/>
    </row>
    <row r="4" spans="1:12" ht="12.75">
      <c r="A4" s="70" t="s">
        <v>107</v>
      </c>
      <c r="B4" s="70"/>
      <c r="C4" s="70"/>
      <c r="D4" s="212" t="s">
        <v>108</v>
      </c>
      <c r="E4" s="212"/>
      <c r="F4" s="212"/>
      <c r="G4" s="212"/>
      <c r="H4" s="212"/>
      <c r="I4" s="212"/>
      <c r="J4" s="212"/>
      <c r="K4" s="212"/>
      <c r="L4" s="212"/>
    </row>
    <row r="5" spans="1:12" ht="12.75">
      <c r="A5" s="70" t="s">
        <v>109</v>
      </c>
      <c r="B5" s="70"/>
      <c r="C5" s="71"/>
      <c r="D5" s="215" t="s">
        <v>110</v>
      </c>
      <c r="E5" s="215"/>
      <c r="F5" s="215"/>
      <c r="G5" s="215"/>
      <c r="H5" s="215"/>
      <c r="I5" s="215"/>
      <c r="J5" s="215"/>
      <c r="K5" s="209" t="s">
        <v>111</v>
      </c>
      <c r="L5" s="209"/>
    </row>
    <row r="6" spans="1:12" ht="12.75">
      <c r="A6" s="70" t="s">
        <v>112</v>
      </c>
      <c r="B6" s="70"/>
      <c r="C6" s="71"/>
      <c r="D6" s="215"/>
      <c r="E6" s="215"/>
      <c r="F6" s="215"/>
      <c r="G6" s="215"/>
      <c r="H6" s="215"/>
      <c r="I6" s="215"/>
      <c r="J6" s="215"/>
      <c r="K6" s="211" t="s">
        <v>113</v>
      </c>
      <c r="L6" s="211"/>
    </row>
    <row r="7" spans="1:12" ht="45" customHeight="1">
      <c r="A7" s="69" t="s">
        <v>0</v>
      </c>
      <c r="B7" s="69" t="s">
        <v>5</v>
      </c>
      <c r="C7" s="209" t="s">
        <v>114</v>
      </c>
      <c r="D7" s="209"/>
      <c r="E7" s="209"/>
      <c r="F7" s="73" t="s">
        <v>3</v>
      </c>
      <c r="G7" s="69" t="s">
        <v>2</v>
      </c>
      <c r="H7" s="74" t="s">
        <v>282</v>
      </c>
      <c r="I7" s="75" t="s">
        <v>283</v>
      </c>
      <c r="J7" s="76" t="s">
        <v>115</v>
      </c>
      <c r="K7" s="77" t="s">
        <v>116</v>
      </c>
      <c r="L7" s="69" t="s">
        <v>10</v>
      </c>
    </row>
    <row r="8" spans="1:12" s="47" customFormat="1" ht="12.75">
      <c r="A8" s="85">
        <v>1</v>
      </c>
      <c r="B8" s="86"/>
      <c r="C8" s="213" t="s">
        <v>117</v>
      </c>
      <c r="D8" s="213"/>
      <c r="E8" s="213"/>
      <c r="F8" s="86"/>
      <c r="G8" s="87"/>
      <c r="H8" s="88"/>
      <c r="I8" s="89"/>
      <c r="J8" s="87"/>
      <c r="K8" s="87"/>
      <c r="L8" s="90"/>
    </row>
    <row r="9" spans="1:12" ht="12.75">
      <c r="A9" s="69" t="s">
        <v>16</v>
      </c>
      <c r="B9" s="71"/>
      <c r="C9" s="214" t="s">
        <v>118</v>
      </c>
      <c r="D9" s="214"/>
      <c r="E9" s="214"/>
      <c r="F9" s="71"/>
      <c r="G9" s="72"/>
      <c r="H9" s="78"/>
      <c r="I9" s="79"/>
      <c r="J9" s="72"/>
      <c r="K9" s="72"/>
      <c r="L9" s="72"/>
    </row>
    <row r="10" spans="1:12" ht="12.75">
      <c r="A10" s="69" t="s">
        <v>119</v>
      </c>
      <c r="B10" s="71" t="s">
        <v>120</v>
      </c>
      <c r="C10" s="214" t="s">
        <v>121</v>
      </c>
      <c r="D10" s="214"/>
      <c r="E10" s="214"/>
      <c r="F10" s="72" t="s">
        <v>122</v>
      </c>
      <c r="G10" s="72">
        <v>15</v>
      </c>
      <c r="H10" s="78">
        <f>15</f>
        <v>15</v>
      </c>
      <c r="I10" s="79">
        <f>G10-H10</f>
        <v>0</v>
      </c>
      <c r="J10" s="72">
        <v>271.23</v>
      </c>
      <c r="K10" s="81">
        <f>(J10*0.26)+J10</f>
        <v>341.74980000000005</v>
      </c>
      <c r="L10" s="80">
        <f>G10*K10</f>
        <v>5126.247000000001</v>
      </c>
    </row>
    <row r="11" spans="1:12" ht="30.75" customHeight="1">
      <c r="A11" s="69" t="s">
        <v>123</v>
      </c>
      <c r="B11" s="71" t="s">
        <v>124</v>
      </c>
      <c r="C11" s="217" t="s">
        <v>125</v>
      </c>
      <c r="D11" s="217"/>
      <c r="E11" s="217"/>
      <c r="F11" s="72" t="s">
        <v>126</v>
      </c>
      <c r="G11" s="72">
        <v>1</v>
      </c>
      <c r="H11" s="78">
        <f>1</f>
        <v>1</v>
      </c>
      <c r="I11" s="79">
        <f aca="true" t="shared" si="0" ref="I11:I74">G11-H11</f>
        <v>0</v>
      </c>
      <c r="J11" s="72">
        <v>723.45</v>
      </c>
      <c r="K11" s="81">
        <f aca="true" t="shared" si="1" ref="K11:K74">(J11*0.26)+J11</f>
        <v>911.547</v>
      </c>
      <c r="L11" s="80">
        <f aca="true" t="shared" si="2" ref="L11:L74">G11*K11</f>
        <v>911.547</v>
      </c>
    </row>
    <row r="12" spans="1:12" ht="12.75">
      <c r="A12" s="69" t="s">
        <v>127</v>
      </c>
      <c r="B12" s="71" t="s">
        <v>128</v>
      </c>
      <c r="C12" s="214" t="s">
        <v>129</v>
      </c>
      <c r="D12" s="214"/>
      <c r="E12" s="214"/>
      <c r="F12" s="72" t="s">
        <v>126</v>
      </c>
      <c r="G12" s="72">
        <v>1</v>
      </c>
      <c r="H12" s="78">
        <f>1</f>
        <v>1</v>
      </c>
      <c r="I12" s="79">
        <f t="shared" si="0"/>
        <v>0</v>
      </c>
      <c r="J12" s="72">
        <v>867.55</v>
      </c>
      <c r="K12" s="81">
        <f t="shared" si="1"/>
        <v>1093.1129999999998</v>
      </c>
      <c r="L12" s="80">
        <f t="shared" si="2"/>
        <v>1093.1129999999998</v>
      </c>
    </row>
    <row r="13" spans="1:12" ht="12.75">
      <c r="A13" s="69" t="s">
        <v>130</v>
      </c>
      <c r="B13" s="71" t="s">
        <v>131</v>
      </c>
      <c r="C13" s="214" t="s">
        <v>132</v>
      </c>
      <c r="D13" s="214"/>
      <c r="E13" s="214"/>
      <c r="F13" s="72" t="s">
        <v>126</v>
      </c>
      <c r="G13" s="72">
        <v>1</v>
      </c>
      <c r="H13" s="78">
        <f>1</f>
        <v>1</v>
      </c>
      <c r="I13" s="79">
        <f t="shared" si="0"/>
        <v>0</v>
      </c>
      <c r="J13" s="72">
        <v>398.25</v>
      </c>
      <c r="K13" s="81">
        <f t="shared" si="1"/>
        <v>501.795</v>
      </c>
      <c r="L13" s="80">
        <f t="shared" si="2"/>
        <v>501.795</v>
      </c>
    </row>
    <row r="14" spans="1:12" ht="12.75">
      <c r="A14" s="69"/>
      <c r="B14" s="71"/>
      <c r="C14" s="214"/>
      <c r="D14" s="214"/>
      <c r="E14" s="71"/>
      <c r="F14" s="72"/>
      <c r="G14" s="72"/>
      <c r="H14" s="78"/>
      <c r="I14" s="79">
        <f t="shared" si="0"/>
        <v>0</v>
      </c>
      <c r="J14" s="72"/>
      <c r="K14" s="81"/>
      <c r="L14" s="80"/>
    </row>
    <row r="15" spans="1:12" s="47" customFormat="1" ht="12.75">
      <c r="A15" s="85">
        <v>2</v>
      </c>
      <c r="B15" s="86"/>
      <c r="C15" s="216" t="s">
        <v>133</v>
      </c>
      <c r="D15" s="216"/>
      <c r="E15" s="86"/>
      <c r="F15" s="87"/>
      <c r="G15" s="87"/>
      <c r="H15" s="88"/>
      <c r="I15" s="89">
        <f t="shared" si="0"/>
        <v>0</v>
      </c>
      <c r="J15" s="87"/>
      <c r="K15" s="91"/>
      <c r="L15" s="90"/>
    </row>
    <row r="16" spans="1:12" ht="12.75">
      <c r="A16" s="69" t="s">
        <v>19</v>
      </c>
      <c r="B16" s="71"/>
      <c r="C16" s="214" t="s">
        <v>17</v>
      </c>
      <c r="D16" s="214"/>
      <c r="E16" s="71"/>
      <c r="F16" s="72"/>
      <c r="G16" s="72"/>
      <c r="H16" s="78"/>
      <c r="I16" s="79">
        <f t="shared" si="0"/>
        <v>0</v>
      </c>
      <c r="J16" s="72"/>
      <c r="K16" s="81"/>
      <c r="L16" s="80"/>
    </row>
    <row r="17" spans="1:12" ht="30" customHeight="1">
      <c r="A17" s="69" t="s">
        <v>32</v>
      </c>
      <c r="B17" s="71" t="s">
        <v>134</v>
      </c>
      <c r="C17" s="217" t="s">
        <v>135</v>
      </c>
      <c r="D17" s="217"/>
      <c r="E17" s="71"/>
      <c r="F17" s="72" t="s">
        <v>122</v>
      </c>
      <c r="G17" s="82">
        <v>2404.42</v>
      </c>
      <c r="H17" s="83">
        <f>2404.42</f>
        <v>2404.42</v>
      </c>
      <c r="I17" s="79">
        <f t="shared" si="0"/>
        <v>0</v>
      </c>
      <c r="J17" s="72">
        <v>5.61</v>
      </c>
      <c r="K17" s="81">
        <f t="shared" si="1"/>
        <v>7.0686</v>
      </c>
      <c r="L17" s="80">
        <f t="shared" si="2"/>
        <v>16995.883212</v>
      </c>
    </row>
    <row r="18" spans="1:12" ht="12.75">
      <c r="A18" s="69"/>
      <c r="B18" s="71"/>
      <c r="C18" s="214"/>
      <c r="D18" s="214"/>
      <c r="E18" s="71"/>
      <c r="F18" s="72"/>
      <c r="G18" s="72"/>
      <c r="H18" s="78"/>
      <c r="I18" s="79">
        <f t="shared" si="0"/>
        <v>0</v>
      </c>
      <c r="J18" s="72"/>
      <c r="K18" s="81"/>
      <c r="L18" s="80"/>
    </row>
    <row r="19" spans="1:12" s="47" customFormat="1" ht="12.75">
      <c r="A19" s="92">
        <v>3</v>
      </c>
      <c r="B19" s="86"/>
      <c r="C19" s="216" t="s">
        <v>78</v>
      </c>
      <c r="D19" s="216"/>
      <c r="E19" s="86"/>
      <c r="F19" s="87"/>
      <c r="G19" s="87"/>
      <c r="H19" s="88"/>
      <c r="I19" s="89">
        <f t="shared" si="0"/>
        <v>0</v>
      </c>
      <c r="J19" s="87"/>
      <c r="K19" s="91"/>
      <c r="L19" s="90"/>
    </row>
    <row r="20" spans="1:12" ht="12.75">
      <c r="A20" s="69" t="s">
        <v>22</v>
      </c>
      <c r="B20" s="71"/>
      <c r="C20" s="214" t="s">
        <v>136</v>
      </c>
      <c r="D20" s="214"/>
      <c r="E20" s="71"/>
      <c r="F20" s="72"/>
      <c r="G20" s="72"/>
      <c r="H20" s="78"/>
      <c r="I20" s="79">
        <f t="shared" si="0"/>
        <v>0</v>
      </c>
      <c r="J20" s="72"/>
      <c r="K20" s="81"/>
      <c r="L20" s="80"/>
    </row>
    <row r="21" spans="1:12" ht="30.75" customHeight="1">
      <c r="A21" s="69" t="s">
        <v>34</v>
      </c>
      <c r="B21" s="71" t="s">
        <v>137</v>
      </c>
      <c r="C21" s="217" t="s">
        <v>138</v>
      </c>
      <c r="D21" s="217"/>
      <c r="E21" s="71"/>
      <c r="F21" s="72" t="s">
        <v>122</v>
      </c>
      <c r="G21" s="82">
        <v>1326.61</v>
      </c>
      <c r="H21" s="83"/>
      <c r="I21" s="79">
        <f t="shared" si="0"/>
        <v>1326.61</v>
      </c>
      <c r="J21" s="72">
        <v>12.79</v>
      </c>
      <c r="K21" s="81">
        <f t="shared" si="1"/>
        <v>16.115399999999998</v>
      </c>
      <c r="L21" s="80">
        <f t="shared" si="2"/>
        <v>21378.850793999994</v>
      </c>
    </row>
    <row r="22" spans="1:12" ht="30.75" customHeight="1">
      <c r="A22" s="69" t="s">
        <v>35</v>
      </c>
      <c r="B22" s="71" t="s">
        <v>139</v>
      </c>
      <c r="C22" s="217" t="s">
        <v>140</v>
      </c>
      <c r="D22" s="217"/>
      <c r="E22" s="71"/>
      <c r="F22" s="72" t="s">
        <v>126</v>
      </c>
      <c r="G22" s="72">
        <v>72</v>
      </c>
      <c r="H22" s="78"/>
      <c r="I22" s="79">
        <f t="shared" si="0"/>
        <v>72</v>
      </c>
      <c r="J22" s="72">
        <v>5.47</v>
      </c>
      <c r="K22" s="81">
        <f t="shared" si="1"/>
        <v>6.8922</v>
      </c>
      <c r="L22" s="80">
        <f t="shared" si="2"/>
        <v>496.2384</v>
      </c>
    </row>
    <row r="23" spans="1:12" ht="12.75">
      <c r="A23" s="69" t="s">
        <v>36</v>
      </c>
      <c r="B23" s="71" t="s">
        <v>141</v>
      </c>
      <c r="C23" s="214" t="s">
        <v>142</v>
      </c>
      <c r="D23" s="214"/>
      <c r="E23" s="71"/>
      <c r="F23" s="72" t="s">
        <v>126</v>
      </c>
      <c r="G23" s="72">
        <v>32</v>
      </c>
      <c r="H23" s="78"/>
      <c r="I23" s="79">
        <f t="shared" si="0"/>
        <v>32</v>
      </c>
      <c r="J23" s="72">
        <v>14.01</v>
      </c>
      <c r="K23" s="81">
        <f t="shared" si="1"/>
        <v>17.6526</v>
      </c>
      <c r="L23" s="80">
        <f t="shared" si="2"/>
        <v>564.8832</v>
      </c>
    </row>
    <row r="24" spans="1:12" ht="12.75">
      <c r="A24" s="69" t="s">
        <v>143</v>
      </c>
      <c r="B24" s="71" t="s">
        <v>141</v>
      </c>
      <c r="C24" s="214" t="s">
        <v>144</v>
      </c>
      <c r="D24" s="214"/>
      <c r="E24" s="71"/>
      <c r="F24" s="72" t="s">
        <v>126</v>
      </c>
      <c r="G24" s="72">
        <v>27</v>
      </c>
      <c r="H24" s="78"/>
      <c r="I24" s="79">
        <f t="shared" si="0"/>
        <v>27</v>
      </c>
      <c r="J24" s="72">
        <v>17.42</v>
      </c>
      <c r="K24" s="81">
        <f t="shared" si="1"/>
        <v>21.9492</v>
      </c>
      <c r="L24" s="80">
        <f t="shared" si="2"/>
        <v>592.6284</v>
      </c>
    </row>
    <row r="25" spans="1:12" ht="12.75">
      <c r="A25" s="69" t="s">
        <v>145</v>
      </c>
      <c r="B25" s="71" t="s">
        <v>146</v>
      </c>
      <c r="C25" s="214" t="s">
        <v>147</v>
      </c>
      <c r="D25" s="214"/>
      <c r="E25" s="71"/>
      <c r="F25" s="72" t="s">
        <v>126</v>
      </c>
      <c r="G25" s="72">
        <v>13</v>
      </c>
      <c r="H25" s="78"/>
      <c r="I25" s="79">
        <f t="shared" si="0"/>
        <v>13</v>
      </c>
      <c r="J25" s="72">
        <v>53.79</v>
      </c>
      <c r="K25" s="81">
        <f t="shared" si="1"/>
        <v>67.7754</v>
      </c>
      <c r="L25" s="80">
        <f t="shared" si="2"/>
        <v>881.0802000000001</v>
      </c>
    </row>
    <row r="26" spans="1:12" ht="12.75">
      <c r="A26" s="69" t="s">
        <v>148</v>
      </c>
      <c r="B26" s="71" t="s">
        <v>149</v>
      </c>
      <c r="C26" s="214" t="s">
        <v>150</v>
      </c>
      <c r="D26" s="214"/>
      <c r="E26" s="71"/>
      <c r="F26" s="72" t="s">
        <v>23</v>
      </c>
      <c r="G26" s="72">
        <v>538.56</v>
      </c>
      <c r="H26" s="78">
        <f>60+478.56</f>
        <v>538.56</v>
      </c>
      <c r="I26" s="79">
        <f t="shared" si="0"/>
        <v>0</v>
      </c>
      <c r="J26" s="72">
        <v>13.95</v>
      </c>
      <c r="K26" s="81">
        <f t="shared" si="1"/>
        <v>17.576999999999998</v>
      </c>
      <c r="L26" s="80">
        <f t="shared" si="2"/>
        <v>9466.269119999997</v>
      </c>
    </row>
    <row r="27" spans="1:12" ht="12.75">
      <c r="A27" s="69"/>
      <c r="B27" s="71"/>
      <c r="C27" s="214"/>
      <c r="D27" s="214"/>
      <c r="E27" s="71"/>
      <c r="F27" s="72"/>
      <c r="G27" s="72"/>
      <c r="H27" s="78"/>
      <c r="I27" s="79">
        <f t="shared" si="0"/>
        <v>0</v>
      </c>
      <c r="J27" s="72"/>
      <c r="K27" s="81"/>
      <c r="L27" s="80"/>
    </row>
    <row r="28" spans="1:12" s="47" customFormat="1" ht="12.75">
      <c r="A28" s="85">
        <v>4</v>
      </c>
      <c r="B28" s="86"/>
      <c r="C28" s="216" t="s">
        <v>151</v>
      </c>
      <c r="D28" s="216"/>
      <c r="E28" s="86"/>
      <c r="F28" s="87"/>
      <c r="G28" s="87"/>
      <c r="H28" s="88"/>
      <c r="I28" s="89">
        <f t="shared" si="0"/>
        <v>0</v>
      </c>
      <c r="J28" s="87"/>
      <c r="K28" s="91"/>
      <c r="L28" s="90"/>
    </row>
    <row r="29" spans="1:12" ht="12.75">
      <c r="A29" s="69" t="s">
        <v>81</v>
      </c>
      <c r="B29" s="71"/>
      <c r="C29" s="214" t="s">
        <v>152</v>
      </c>
      <c r="D29" s="214"/>
      <c r="E29" s="71"/>
      <c r="F29" s="72"/>
      <c r="G29" s="72"/>
      <c r="H29" s="78"/>
      <c r="I29" s="79">
        <f t="shared" si="0"/>
        <v>0</v>
      </c>
      <c r="J29" s="72"/>
      <c r="K29" s="81"/>
      <c r="L29" s="80"/>
    </row>
    <row r="30" spans="1:12" ht="29.25" customHeight="1">
      <c r="A30" s="69" t="s">
        <v>37</v>
      </c>
      <c r="B30" s="71" t="s">
        <v>153</v>
      </c>
      <c r="C30" s="217" t="s">
        <v>154</v>
      </c>
      <c r="D30" s="217"/>
      <c r="E30" s="71"/>
      <c r="F30" s="72" t="s">
        <v>126</v>
      </c>
      <c r="G30" s="72">
        <v>1</v>
      </c>
      <c r="H30" s="78">
        <f>1</f>
        <v>1</v>
      </c>
      <c r="I30" s="79">
        <f t="shared" si="0"/>
        <v>0</v>
      </c>
      <c r="J30" s="72">
        <v>19.32</v>
      </c>
      <c r="K30" s="81">
        <f t="shared" si="1"/>
        <v>24.3432</v>
      </c>
      <c r="L30" s="80">
        <f t="shared" si="2"/>
        <v>24.3432</v>
      </c>
    </row>
    <row r="31" spans="1:12" ht="15" customHeight="1">
      <c r="A31" s="69" t="s">
        <v>38</v>
      </c>
      <c r="B31" s="71" t="s">
        <v>155</v>
      </c>
      <c r="C31" s="217" t="s">
        <v>156</v>
      </c>
      <c r="D31" s="217"/>
      <c r="E31" s="71"/>
      <c r="F31" s="72" t="s">
        <v>126</v>
      </c>
      <c r="G31" s="72">
        <v>1</v>
      </c>
      <c r="H31" s="78">
        <f>1</f>
        <v>1</v>
      </c>
      <c r="I31" s="79">
        <f t="shared" si="0"/>
        <v>0</v>
      </c>
      <c r="J31" s="72">
        <v>8121.89</v>
      </c>
      <c r="K31" s="81">
        <f t="shared" si="1"/>
        <v>10233.581400000001</v>
      </c>
      <c r="L31" s="80">
        <f t="shared" si="2"/>
        <v>10233.581400000001</v>
      </c>
    </row>
    <row r="32" spans="1:12" ht="12.75">
      <c r="A32" s="69" t="s">
        <v>39</v>
      </c>
      <c r="B32" s="71" t="s">
        <v>157</v>
      </c>
      <c r="C32" s="212" t="s">
        <v>158</v>
      </c>
      <c r="D32" s="212"/>
      <c r="E32" s="71"/>
      <c r="F32" s="72" t="s">
        <v>126</v>
      </c>
      <c r="G32" s="72">
        <v>4</v>
      </c>
      <c r="H32" s="78">
        <f>4</f>
        <v>4</v>
      </c>
      <c r="I32" s="79">
        <f t="shared" si="0"/>
        <v>0</v>
      </c>
      <c r="J32" s="72">
        <v>17.65</v>
      </c>
      <c r="K32" s="81">
        <f t="shared" si="1"/>
        <v>22.238999999999997</v>
      </c>
      <c r="L32" s="80">
        <f t="shared" si="2"/>
        <v>88.95599999999999</v>
      </c>
    </row>
    <row r="33" spans="1:12" ht="12.75">
      <c r="A33" s="69" t="s">
        <v>159</v>
      </c>
      <c r="B33" s="71" t="s">
        <v>160</v>
      </c>
      <c r="C33" s="212" t="s">
        <v>161</v>
      </c>
      <c r="D33" s="212"/>
      <c r="E33" s="71"/>
      <c r="F33" s="72" t="s">
        <v>126</v>
      </c>
      <c r="G33" s="72">
        <v>2</v>
      </c>
      <c r="H33" s="78">
        <f>2</f>
        <v>2</v>
      </c>
      <c r="I33" s="79">
        <f t="shared" si="0"/>
        <v>0</v>
      </c>
      <c r="J33" s="72">
        <v>46.43</v>
      </c>
      <c r="K33" s="81">
        <f t="shared" si="1"/>
        <v>58.5018</v>
      </c>
      <c r="L33" s="80">
        <f t="shared" si="2"/>
        <v>117.0036</v>
      </c>
    </row>
    <row r="34" spans="1:12" ht="12.75">
      <c r="A34" s="69" t="s">
        <v>162</v>
      </c>
      <c r="B34" s="71" t="s">
        <v>163</v>
      </c>
      <c r="C34" s="212" t="s">
        <v>164</v>
      </c>
      <c r="D34" s="212"/>
      <c r="E34" s="71"/>
      <c r="F34" s="72" t="s">
        <v>165</v>
      </c>
      <c r="G34" s="72">
        <v>2</v>
      </c>
      <c r="H34" s="78">
        <f>2</f>
        <v>2</v>
      </c>
      <c r="I34" s="79">
        <f t="shared" si="0"/>
        <v>0</v>
      </c>
      <c r="J34" s="72">
        <v>50.73</v>
      </c>
      <c r="K34" s="81">
        <f t="shared" si="1"/>
        <v>63.919799999999995</v>
      </c>
      <c r="L34" s="80">
        <f t="shared" si="2"/>
        <v>127.83959999999999</v>
      </c>
    </row>
    <row r="35" spans="1:12" ht="12.75">
      <c r="A35" s="69" t="s">
        <v>166</v>
      </c>
      <c r="B35" s="71" t="s">
        <v>167</v>
      </c>
      <c r="C35" s="212" t="s">
        <v>168</v>
      </c>
      <c r="D35" s="212"/>
      <c r="E35" s="71"/>
      <c r="F35" s="72" t="s">
        <v>23</v>
      </c>
      <c r="G35" s="72">
        <v>42</v>
      </c>
      <c r="H35" s="78">
        <f>42</f>
        <v>42</v>
      </c>
      <c r="I35" s="79">
        <f t="shared" si="0"/>
        <v>0</v>
      </c>
      <c r="J35" s="72">
        <v>14.15</v>
      </c>
      <c r="K35" s="81">
        <f t="shared" si="1"/>
        <v>17.829</v>
      </c>
      <c r="L35" s="80">
        <f t="shared" si="2"/>
        <v>748.818</v>
      </c>
    </row>
    <row r="36" spans="1:12" ht="12.75">
      <c r="A36" s="69" t="s">
        <v>169</v>
      </c>
      <c r="B36" s="71" t="s">
        <v>170</v>
      </c>
      <c r="C36" s="212" t="s">
        <v>171</v>
      </c>
      <c r="D36" s="212"/>
      <c r="E36" s="71"/>
      <c r="F36" s="72" t="s">
        <v>23</v>
      </c>
      <c r="G36" s="72">
        <v>20</v>
      </c>
      <c r="H36" s="78">
        <f>20</f>
        <v>20</v>
      </c>
      <c r="I36" s="79">
        <f t="shared" si="0"/>
        <v>0</v>
      </c>
      <c r="J36" s="72">
        <v>10.22</v>
      </c>
      <c r="K36" s="81">
        <f t="shared" si="1"/>
        <v>12.877200000000002</v>
      </c>
      <c r="L36" s="80">
        <f t="shared" si="2"/>
        <v>257.54400000000004</v>
      </c>
    </row>
    <row r="37" spans="1:12" ht="12.75">
      <c r="A37" s="69" t="s">
        <v>172</v>
      </c>
      <c r="B37" s="71" t="s">
        <v>173</v>
      </c>
      <c r="C37" s="212" t="s">
        <v>174</v>
      </c>
      <c r="D37" s="212"/>
      <c r="E37" s="71"/>
      <c r="F37" s="72" t="s">
        <v>23</v>
      </c>
      <c r="G37" s="72">
        <v>24</v>
      </c>
      <c r="H37" s="78">
        <f>24</f>
        <v>24</v>
      </c>
      <c r="I37" s="79">
        <f t="shared" si="0"/>
        <v>0</v>
      </c>
      <c r="J37" s="72">
        <v>17.81</v>
      </c>
      <c r="K37" s="81">
        <f t="shared" si="1"/>
        <v>22.440599999999996</v>
      </c>
      <c r="L37" s="80">
        <f t="shared" si="2"/>
        <v>538.5744</v>
      </c>
    </row>
    <row r="38" spans="1:12" ht="12.75">
      <c r="A38" s="69" t="s">
        <v>175</v>
      </c>
      <c r="B38" s="71" t="s">
        <v>176</v>
      </c>
      <c r="C38" s="212" t="s">
        <v>177</v>
      </c>
      <c r="D38" s="212"/>
      <c r="E38" s="71"/>
      <c r="F38" s="72" t="s">
        <v>23</v>
      </c>
      <c r="G38" s="72">
        <v>178.39</v>
      </c>
      <c r="H38" s="78">
        <f>178.39</f>
        <v>178.39</v>
      </c>
      <c r="I38" s="79">
        <f t="shared" si="0"/>
        <v>0</v>
      </c>
      <c r="J38" s="72">
        <v>20.42</v>
      </c>
      <c r="K38" s="81">
        <f t="shared" si="1"/>
        <v>25.729200000000002</v>
      </c>
      <c r="L38" s="80">
        <f t="shared" si="2"/>
        <v>4589.831988</v>
      </c>
    </row>
    <row r="39" spans="1:12" ht="12.75">
      <c r="A39" s="69" t="s">
        <v>178</v>
      </c>
      <c r="B39" s="71" t="s">
        <v>179</v>
      </c>
      <c r="C39" s="212" t="s">
        <v>180</v>
      </c>
      <c r="D39" s="212"/>
      <c r="E39" s="71"/>
      <c r="F39" s="72" t="s">
        <v>126</v>
      </c>
      <c r="G39" s="72">
        <v>1</v>
      </c>
      <c r="H39" s="78"/>
      <c r="I39" s="79">
        <f t="shared" si="0"/>
        <v>1</v>
      </c>
      <c r="J39" s="72">
        <v>884.76</v>
      </c>
      <c r="K39" s="81">
        <f t="shared" si="1"/>
        <v>1114.7975999999999</v>
      </c>
      <c r="L39" s="80">
        <f t="shared" si="2"/>
        <v>1114.7975999999999</v>
      </c>
    </row>
    <row r="40" spans="1:12" ht="12.75">
      <c r="A40" s="69" t="s">
        <v>181</v>
      </c>
      <c r="B40" s="71" t="s">
        <v>182</v>
      </c>
      <c r="C40" s="212" t="s">
        <v>183</v>
      </c>
      <c r="D40" s="212"/>
      <c r="E40" s="71"/>
      <c r="F40" s="72" t="s">
        <v>126</v>
      </c>
      <c r="G40" s="72">
        <v>16</v>
      </c>
      <c r="H40" s="78">
        <f>16</f>
        <v>16</v>
      </c>
      <c r="I40" s="79">
        <f t="shared" si="0"/>
        <v>0</v>
      </c>
      <c r="J40" s="72">
        <v>30.59</v>
      </c>
      <c r="K40" s="81">
        <f t="shared" si="1"/>
        <v>38.5434</v>
      </c>
      <c r="L40" s="80">
        <f t="shared" si="2"/>
        <v>616.6944</v>
      </c>
    </row>
    <row r="41" spans="1:12" ht="12.75">
      <c r="A41" s="71"/>
      <c r="B41" s="71"/>
      <c r="C41" s="212"/>
      <c r="D41" s="212"/>
      <c r="E41" s="71"/>
      <c r="F41" s="71"/>
      <c r="G41" s="72"/>
      <c r="H41" s="78"/>
      <c r="I41" s="79">
        <f t="shared" si="0"/>
        <v>0</v>
      </c>
      <c r="J41" s="72"/>
      <c r="K41" s="81"/>
      <c r="L41" s="80"/>
    </row>
    <row r="42" spans="1:12" s="47" customFormat="1" ht="12.75">
      <c r="A42" s="87">
        <v>5</v>
      </c>
      <c r="B42" s="86"/>
      <c r="C42" s="213" t="s">
        <v>184</v>
      </c>
      <c r="D42" s="213"/>
      <c r="E42" s="86"/>
      <c r="F42" s="86"/>
      <c r="G42" s="87"/>
      <c r="H42" s="88"/>
      <c r="I42" s="89">
        <f t="shared" si="0"/>
        <v>0</v>
      </c>
      <c r="J42" s="87"/>
      <c r="K42" s="91"/>
      <c r="L42" s="90"/>
    </row>
    <row r="43" spans="1:12" ht="12.75">
      <c r="A43" s="69" t="s">
        <v>185</v>
      </c>
      <c r="B43" s="71"/>
      <c r="C43" s="212" t="s">
        <v>186</v>
      </c>
      <c r="D43" s="212"/>
      <c r="E43" s="71"/>
      <c r="F43" s="71"/>
      <c r="G43" s="72"/>
      <c r="H43" s="78"/>
      <c r="I43" s="79">
        <f t="shared" si="0"/>
        <v>0</v>
      </c>
      <c r="J43" s="72"/>
      <c r="K43" s="81"/>
      <c r="L43" s="80"/>
    </row>
    <row r="44" spans="1:12" ht="12.75">
      <c r="A44" s="69" t="s">
        <v>187</v>
      </c>
      <c r="B44" s="71" t="s">
        <v>84</v>
      </c>
      <c r="C44" s="212" t="s">
        <v>188</v>
      </c>
      <c r="D44" s="212"/>
      <c r="E44" s="71"/>
      <c r="F44" s="72" t="s">
        <v>23</v>
      </c>
      <c r="G44" s="72">
        <v>240</v>
      </c>
      <c r="H44" s="78">
        <f>240</f>
        <v>240</v>
      </c>
      <c r="I44" s="79">
        <f t="shared" si="0"/>
        <v>0</v>
      </c>
      <c r="J44" s="72">
        <v>10.58</v>
      </c>
      <c r="K44" s="81">
        <f t="shared" si="1"/>
        <v>13.3308</v>
      </c>
      <c r="L44" s="80">
        <f t="shared" si="2"/>
        <v>3199.392</v>
      </c>
    </row>
    <row r="45" spans="1:12" ht="12.75">
      <c r="A45" s="69" t="s">
        <v>189</v>
      </c>
      <c r="B45" s="71" t="s">
        <v>190</v>
      </c>
      <c r="C45" s="212" t="s">
        <v>191</v>
      </c>
      <c r="D45" s="212"/>
      <c r="E45" s="71"/>
      <c r="F45" s="72" t="s">
        <v>23</v>
      </c>
      <c r="G45" s="72">
        <v>120</v>
      </c>
      <c r="H45" s="78">
        <f>120</f>
        <v>120</v>
      </c>
      <c r="I45" s="79">
        <f t="shared" si="0"/>
        <v>0</v>
      </c>
      <c r="J45" s="72">
        <v>11.03</v>
      </c>
      <c r="K45" s="81">
        <f t="shared" si="1"/>
        <v>13.8978</v>
      </c>
      <c r="L45" s="80">
        <f t="shared" si="2"/>
        <v>1667.736</v>
      </c>
    </row>
    <row r="46" spans="1:12" ht="12.75">
      <c r="A46" s="69" t="s">
        <v>192</v>
      </c>
      <c r="B46" s="71" t="s">
        <v>98</v>
      </c>
      <c r="C46" s="212" t="s">
        <v>193</v>
      </c>
      <c r="D46" s="212"/>
      <c r="E46" s="71"/>
      <c r="F46" s="72" t="s">
        <v>126</v>
      </c>
      <c r="G46" s="72">
        <v>1</v>
      </c>
      <c r="H46" s="78">
        <f>1</f>
        <v>1</v>
      </c>
      <c r="I46" s="79">
        <f t="shared" si="0"/>
        <v>0</v>
      </c>
      <c r="J46" s="72">
        <v>1546.05</v>
      </c>
      <c r="K46" s="81">
        <f t="shared" si="1"/>
        <v>1948.023</v>
      </c>
      <c r="L46" s="80">
        <f t="shared" si="2"/>
        <v>1948.023</v>
      </c>
    </row>
    <row r="47" spans="1:12" ht="12.75">
      <c r="A47" s="69" t="s">
        <v>194</v>
      </c>
      <c r="B47" s="71" t="s">
        <v>195</v>
      </c>
      <c r="C47" s="212" t="s">
        <v>196</v>
      </c>
      <c r="D47" s="212"/>
      <c r="E47" s="71"/>
      <c r="F47" s="72" t="s">
        <v>126</v>
      </c>
      <c r="G47" s="72">
        <v>1</v>
      </c>
      <c r="H47" s="78">
        <f>1</f>
        <v>1</v>
      </c>
      <c r="I47" s="79">
        <f t="shared" si="0"/>
        <v>0</v>
      </c>
      <c r="J47" s="72">
        <v>161.35</v>
      </c>
      <c r="K47" s="81">
        <f t="shared" si="1"/>
        <v>203.301</v>
      </c>
      <c r="L47" s="80">
        <f t="shared" si="2"/>
        <v>203.301</v>
      </c>
    </row>
    <row r="48" spans="1:12" ht="29.25" customHeight="1">
      <c r="A48" s="69" t="s">
        <v>197</v>
      </c>
      <c r="B48" s="71" t="s">
        <v>198</v>
      </c>
      <c r="C48" s="217" t="s">
        <v>199</v>
      </c>
      <c r="D48" s="217"/>
      <c r="E48" s="71"/>
      <c r="F48" s="72" t="s">
        <v>23</v>
      </c>
      <c r="G48" s="72">
        <v>260</v>
      </c>
      <c r="H48" s="78">
        <f>260</f>
        <v>260</v>
      </c>
      <c r="I48" s="79">
        <f t="shared" si="0"/>
        <v>0</v>
      </c>
      <c r="J48" s="72">
        <v>8.86</v>
      </c>
      <c r="K48" s="81">
        <f t="shared" si="1"/>
        <v>11.163599999999999</v>
      </c>
      <c r="L48" s="80">
        <f t="shared" si="2"/>
        <v>2902.5359999999996</v>
      </c>
    </row>
    <row r="49" spans="1:12" ht="29.25" customHeight="1">
      <c r="A49" s="69" t="s">
        <v>200</v>
      </c>
      <c r="B49" s="71" t="s">
        <v>201</v>
      </c>
      <c r="C49" s="217" t="s">
        <v>202</v>
      </c>
      <c r="D49" s="217"/>
      <c r="E49" s="71"/>
      <c r="F49" s="72" t="s">
        <v>23</v>
      </c>
      <c r="G49" s="72">
        <v>10</v>
      </c>
      <c r="H49" s="78">
        <f>10</f>
        <v>10</v>
      </c>
      <c r="I49" s="79">
        <f t="shared" si="0"/>
        <v>0</v>
      </c>
      <c r="J49" s="72">
        <v>6.31</v>
      </c>
      <c r="K49" s="81">
        <f t="shared" si="1"/>
        <v>7.9506</v>
      </c>
      <c r="L49" s="80">
        <f t="shared" si="2"/>
        <v>79.506</v>
      </c>
    </row>
    <row r="50" spans="1:12" ht="12.75">
      <c r="A50" s="69" t="s">
        <v>203</v>
      </c>
      <c r="B50" s="71" t="s">
        <v>204</v>
      </c>
      <c r="C50" s="212" t="s">
        <v>205</v>
      </c>
      <c r="D50" s="212"/>
      <c r="E50" s="71"/>
      <c r="F50" s="72" t="s">
        <v>23</v>
      </c>
      <c r="G50" s="82">
        <v>1100</v>
      </c>
      <c r="H50" s="83">
        <f>1100</f>
        <v>1100</v>
      </c>
      <c r="I50" s="79">
        <f t="shared" si="0"/>
        <v>0</v>
      </c>
      <c r="J50" s="72">
        <v>3.5</v>
      </c>
      <c r="K50" s="81">
        <f t="shared" si="1"/>
        <v>4.41</v>
      </c>
      <c r="L50" s="80">
        <f t="shared" si="2"/>
        <v>4851</v>
      </c>
    </row>
    <row r="51" spans="1:12" ht="12.75">
      <c r="A51" s="69" t="s">
        <v>206</v>
      </c>
      <c r="B51" s="71" t="s">
        <v>207</v>
      </c>
      <c r="C51" s="212" t="s">
        <v>208</v>
      </c>
      <c r="D51" s="212"/>
      <c r="E51" s="71"/>
      <c r="F51" s="72" t="s">
        <v>23</v>
      </c>
      <c r="G51" s="72">
        <v>550</v>
      </c>
      <c r="H51" s="78">
        <f>550</f>
        <v>550</v>
      </c>
      <c r="I51" s="79">
        <f t="shared" si="0"/>
        <v>0</v>
      </c>
      <c r="J51" s="72">
        <v>3.5</v>
      </c>
      <c r="K51" s="81">
        <f t="shared" si="1"/>
        <v>4.41</v>
      </c>
      <c r="L51" s="80">
        <f t="shared" si="2"/>
        <v>2425.5</v>
      </c>
    </row>
    <row r="52" spans="1:12" ht="12.75">
      <c r="A52" s="69" t="s">
        <v>209</v>
      </c>
      <c r="B52" s="71" t="s">
        <v>210</v>
      </c>
      <c r="C52" s="212" t="s">
        <v>211</v>
      </c>
      <c r="D52" s="212"/>
      <c r="E52" s="71"/>
      <c r="F52" s="72" t="s">
        <v>23</v>
      </c>
      <c r="G52" s="72">
        <v>550</v>
      </c>
      <c r="H52" s="78">
        <f>550</f>
        <v>550</v>
      </c>
      <c r="I52" s="79">
        <f t="shared" si="0"/>
        <v>0</v>
      </c>
      <c r="J52" s="72">
        <v>3</v>
      </c>
      <c r="K52" s="81">
        <f t="shared" si="1"/>
        <v>3.7800000000000002</v>
      </c>
      <c r="L52" s="80">
        <f t="shared" si="2"/>
        <v>2079</v>
      </c>
    </row>
    <row r="53" spans="1:12" ht="12.75">
      <c r="A53" s="69" t="s">
        <v>212</v>
      </c>
      <c r="B53" s="71" t="s">
        <v>213</v>
      </c>
      <c r="C53" s="212" t="s">
        <v>214</v>
      </c>
      <c r="D53" s="212"/>
      <c r="E53" s="71"/>
      <c r="F53" s="72" t="s">
        <v>23</v>
      </c>
      <c r="G53" s="72">
        <v>300</v>
      </c>
      <c r="H53" s="78">
        <f>300</f>
        <v>300</v>
      </c>
      <c r="I53" s="79">
        <f t="shared" si="0"/>
        <v>0</v>
      </c>
      <c r="J53" s="72">
        <v>3.5</v>
      </c>
      <c r="K53" s="81">
        <f t="shared" si="1"/>
        <v>4.41</v>
      </c>
      <c r="L53" s="80">
        <f t="shared" si="2"/>
        <v>1323</v>
      </c>
    </row>
    <row r="54" spans="1:12" ht="12.75">
      <c r="A54" s="69" t="s">
        <v>215</v>
      </c>
      <c r="B54" s="71" t="s">
        <v>216</v>
      </c>
      <c r="C54" s="212" t="s">
        <v>217</v>
      </c>
      <c r="D54" s="212"/>
      <c r="E54" s="71"/>
      <c r="F54" s="72" t="s">
        <v>126</v>
      </c>
      <c r="G54" s="72">
        <v>2</v>
      </c>
      <c r="H54" s="78">
        <f>2</f>
        <v>2</v>
      </c>
      <c r="I54" s="79">
        <f t="shared" si="0"/>
        <v>0</v>
      </c>
      <c r="J54" s="72">
        <v>60</v>
      </c>
      <c r="K54" s="81">
        <f t="shared" si="1"/>
        <v>75.6</v>
      </c>
      <c r="L54" s="80">
        <f t="shared" si="2"/>
        <v>151.2</v>
      </c>
    </row>
    <row r="55" spans="1:12" ht="12.75">
      <c r="A55" s="69" t="s">
        <v>218</v>
      </c>
      <c r="B55" s="71" t="s">
        <v>219</v>
      </c>
      <c r="C55" s="212" t="s">
        <v>220</v>
      </c>
      <c r="D55" s="212"/>
      <c r="E55" s="71"/>
      <c r="F55" s="72" t="s">
        <v>126</v>
      </c>
      <c r="G55" s="72">
        <v>6</v>
      </c>
      <c r="H55" s="78">
        <f>6</f>
        <v>6</v>
      </c>
      <c r="I55" s="79">
        <f t="shared" si="0"/>
        <v>0</v>
      </c>
      <c r="J55" s="72">
        <v>29.8</v>
      </c>
      <c r="K55" s="81">
        <f t="shared" si="1"/>
        <v>37.548</v>
      </c>
      <c r="L55" s="80">
        <f t="shared" si="2"/>
        <v>225.288</v>
      </c>
    </row>
    <row r="56" spans="1:12" ht="12.75">
      <c r="A56" s="69" t="s">
        <v>221</v>
      </c>
      <c r="B56" s="71" t="s">
        <v>222</v>
      </c>
      <c r="C56" s="212" t="s">
        <v>223</v>
      </c>
      <c r="D56" s="212"/>
      <c r="E56" s="71"/>
      <c r="F56" s="72" t="s">
        <v>126</v>
      </c>
      <c r="G56" s="72">
        <v>1</v>
      </c>
      <c r="H56" s="78">
        <f>1</f>
        <v>1</v>
      </c>
      <c r="I56" s="79">
        <f t="shared" si="0"/>
        <v>0</v>
      </c>
      <c r="J56" s="72">
        <v>29.8</v>
      </c>
      <c r="K56" s="81">
        <f t="shared" si="1"/>
        <v>37.548</v>
      </c>
      <c r="L56" s="80">
        <f t="shared" si="2"/>
        <v>37.548</v>
      </c>
    </row>
    <row r="57" spans="1:12" ht="12.75">
      <c r="A57" s="69" t="s">
        <v>224</v>
      </c>
      <c r="B57" s="71" t="s">
        <v>225</v>
      </c>
      <c r="C57" s="212" t="s">
        <v>226</v>
      </c>
      <c r="D57" s="212"/>
      <c r="E57" s="71"/>
      <c r="F57" s="72" t="s">
        <v>126</v>
      </c>
      <c r="G57" s="72">
        <v>2</v>
      </c>
      <c r="H57" s="78">
        <f>2</f>
        <v>2</v>
      </c>
      <c r="I57" s="79">
        <f t="shared" si="0"/>
        <v>0</v>
      </c>
      <c r="J57" s="72">
        <v>15</v>
      </c>
      <c r="K57" s="81">
        <f t="shared" si="1"/>
        <v>18.9</v>
      </c>
      <c r="L57" s="80">
        <f t="shared" si="2"/>
        <v>37.8</v>
      </c>
    </row>
    <row r="58" spans="1:12" ht="12.75">
      <c r="A58" s="69" t="s">
        <v>227</v>
      </c>
      <c r="B58" s="71" t="s">
        <v>228</v>
      </c>
      <c r="C58" s="212" t="s">
        <v>229</v>
      </c>
      <c r="D58" s="212"/>
      <c r="E58" s="71"/>
      <c r="F58" s="72" t="s">
        <v>126</v>
      </c>
      <c r="G58" s="72">
        <v>6</v>
      </c>
      <c r="H58" s="78">
        <f>6</f>
        <v>6</v>
      </c>
      <c r="I58" s="79">
        <f t="shared" si="0"/>
        <v>0</v>
      </c>
      <c r="J58" s="72">
        <v>56.69</v>
      </c>
      <c r="K58" s="81">
        <f t="shared" si="1"/>
        <v>71.4294</v>
      </c>
      <c r="L58" s="80">
        <f t="shared" si="2"/>
        <v>428.57640000000004</v>
      </c>
    </row>
    <row r="59" spans="1:12" ht="12.75">
      <c r="A59" s="69" t="s">
        <v>230</v>
      </c>
      <c r="B59" s="71" t="s">
        <v>231</v>
      </c>
      <c r="C59" s="212" t="s">
        <v>232</v>
      </c>
      <c r="D59" s="212"/>
      <c r="E59" s="71"/>
      <c r="F59" s="72" t="s">
        <v>126</v>
      </c>
      <c r="G59" s="72">
        <v>10</v>
      </c>
      <c r="H59" s="78">
        <f>10</f>
        <v>10</v>
      </c>
      <c r="I59" s="79">
        <f t="shared" si="0"/>
        <v>0</v>
      </c>
      <c r="J59" s="72">
        <v>6</v>
      </c>
      <c r="K59" s="81">
        <f t="shared" si="1"/>
        <v>7.5600000000000005</v>
      </c>
      <c r="L59" s="80">
        <f t="shared" si="2"/>
        <v>75.60000000000001</v>
      </c>
    </row>
    <row r="60" spans="1:12" ht="12.75">
      <c r="A60" s="69" t="s">
        <v>233</v>
      </c>
      <c r="B60" s="71" t="s">
        <v>234</v>
      </c>
      <c r="C60" s="212" t="s">
        <v>235</v>
      </c>
      <c r="D60" s="212"/>
      <c r="E60" s="71"/>
      <c r="F60" s="72" t="s">
        <v>126</v>
      </c>
      <c r="G60" s="72">
        <v>8</v>
      </c>
      <c r="H60" s="78">
        <f>8</f>
        <v>8</v>
      </c>
      <c r="I60" s="79">
        <f t="shared" si="0"/>
        <v>0</v>
      </c>
      <c r="J60" s="72">
        <v>6.1</v>
      </c>
      <c r="K60" s="81">
        <f t="shared" si="1"/>
        <v>7.686</v>
      </c>
      <c r="L60" s="80">
        <f t="shared" si="2"/>
        <v>61.488</v>
      </c>
    </row>
    <row r="61" spans="1:12" ht="12.75">
      <c r="A61" s="69" t="s">
        <v>236</v>
      </c>
      <c r="B61" s="71" t="s">
        <v>237</v>
      </c>
      <c r="C61" s="212" t="s">
        <v>238</v>
      </c>
      <c r="D61" s="212"/>
      <c r="E61" s="71"/>
      <c r="F61" s="72" t="s">
        <v>126</v>
      </c>
      <c r="G61" s="72">
        <v>26</v>
      </c>
      <c r="H61" s="78">
        <f>26</f>
        <v>26</v>
      </c>
      <c r="I61" s="79">
        <f t="shared" si="0"/>
        <v>0</v>
      </c>
      <c r="J61" s="72">
        <v>11.45</v>
      </c>
      <c r="K61" s="81">
        <f t="shared" si="1"/>
        <v>14.427</v>
      </c>
      <c r="L61" s="80">
        <f t="shared" si="2"/>
        <v>375.102</v>
      </c>
    </row>
    <row r="62" spans="1:12" ht="12.75">
      <c r="A62" s="69" t="s">
        <v>239</v>
      </c>
      <c r="B62" s="71" t="s">
        <v>100</v>
      </c>
      <c r="C62" s="212" t="s">
        <v>240</v>
      </c>
      <c r="D62" s="212"/>
      <c r="E62" s="71"/>
      <c r="F62" s="72" t="s">
        <v>126</v>
      </c>
      <c r="G62" s="72">
        <v>6</v>
      </c>
      <c r="H62" s="78">
        <f>6</f>
        <v>6</v>
      </c>
      <c r="I62" s="79">
        <f t="shared" si="0"/>
        <v>0</v>
      </c>
      <c r="J62" s="72">
        <v>40.9</v>
      </c>
      <c r="K62" s="81">
        <f t="shared" si="1"/>
        <v>51.534</v>
      </c>
      <c r="L62" s="80">
        <f t="shared" si="2"/>
        <v>309.204</v>
      </c>
    </row>
    <row r="63" spans="1:12" ht="30.75" customHeight="1">
      <c r="A63" s="69" t="s">
        <v>241</v>
      </c>
      <c r="B63" s="71" t="s">
        <v>242</v>
      </c>
      <c r="C63" s="217" t="s">
        <v>243</v>
      </c>
      <c r="D63" s="217"/>
      <c r="E63" s="71"/>
      <c r="F63" s="72" t="s">
        <v>126</v>
      </c>
      <c r="G63" s="72">
        <v>26</v>
      </c>
      <c r="H63" s="78"/>
      <c r="I63" s="79">
        <f t="shared" si="0"/>
        <v>26</v>
      </c>
      <c r="J63" s="72">
        <v>1389.11</v>
      </c>
      <c r="K63" s="81">
        <f t="shared" si="1"/>
        <v>1750.2785999999999</v>
      </c>
      <c r="L63" s="80">
        <f t="shared" si="2"/>
        <v>45507.243599999994</v>
      </c>
    </row>
    <row r="64" spans="1:12" ht="12.75">
      <c r="A64" s="71"/>
      <c r="B64" s="71"/>
      <c r="C64" s="212"/>
      <c r="D64" s="212"/>
      <c r="E64" s="71"/>
      <c r="F64" s="72"/>
      <c r="G64" s="72"/>
      <c r="H64" s="78"/>
      <c r="I64" s="79">
        <f t="shared" si="0"/>
        <v>0</v>
      </c>
      <c r="J64" s="72"/>
      <c r="K64" s="81"/>
      <c r="L64" s="80"/>
    </row>
    <row r="65" spans="1:12" ht="12.75">
      <c r="A65" s="72">
        <v>6</v>
      </c>
      <c r="B65" s="71"/>
      <c r="C65" s="212" t="s">
        <v>244</v>
      </c>
      <c r="D65" s="212"/>
      <c r="E65" s="71"/>
      <c r="F65" s="72"/>
      <c r="G65" s="72"/>
      <c r="H65" s="78"/>
      <c r="I65" s="79">
        <f t="shared" si="0"/>
        <v>0</v>
      </c>
      <c r="J65" s="72"/>
      <c r="K65" s="81"/>
      <c r="L65" s="80"/>
    </row>
    <row r="66" spans="1:12" ht="12.75">
      <c r="A66" s="69" t="s">
        <v>245</v>
      </c>
      <c r="B66" s="71"/>
      <c r="C66" s="212" t="s">
        <v>246</v>
      </c>
      <c r="D66" s="212"/>
      <c r="E66" s="71"/>
      <c r="F66" s="72"/>
      <c r="G66" s="72"/>
      <c r="H66" s="78"/>
      <c r="I66" s="79">
        <f t="shared" si="0"/>
        <v>0</v>
      </c>
      <c r="J66" s="72"/>
      <c r="K66" s="81"/>
      <c r="L66" s="80"/>
    </row>
    <row r="67" spans="1:12" ht="30" customHeight="1">
      <c r="A67" s="69" t="s">
        <v>247</v>
      </c>
      <c r="B67" s="71" t="s">
        <v>47</v>
      </c>
      <c r="C67" s="217" t="s">
        <v>248</v>
      </c>
      <c r="D67" s="217"/>
      <c r="E67" s="71"/>
      <c r="F67" s="72" t="s">
        <v>122</v>
      </c>
      <c r="G67" s="82">
        <v>1099.76</v>
      </c>
      <c r="H67" s="83">
        <f>934.8+164.96</f>
        <v>1099.76</v>
      </c>
      <c r="I67" s="79">
        <f t="shared" si="0"/>
        <v>0</v>
      </c>
      <c r="J67" s="72">
        <v>37.25</v>
      </c>
      <c r="K67" s="81">
        <f t="shared" si="1"/>
        <v>46.935</v>
      </c>
      <c r="L67" s="80">
        <f t="shared" si="2"/>
        <v>51617.2356</v>
      </c>
    </row>
    <row r="68" spans="1:12" ht="30.75" customHeight="1">
      <c r="A68" s="69" t="s">
        <v>249</v>
      </c>
      <c r="B68" s="71" t="s">
        <v>250</v>
      </c>
      <c r="C68" s="217" t="s">
        <v>251</v>
      </c>
      <c r="D68" s="217"/>
      <c r="E68" s="71"/>
      <c r="F68" s="72" t="s">
        <v>122</v>
      </c>
      <c r="G68" s="72">
        <v>999.18</v>
      </c>
      <c r="H68" s="78">
        <f>505.27</f>
        <v>505.27</v>
      </c>
      <c r="I68" s="79">
        <f t="shared" si="0"/>
        <v>493.90999999999997</v>
      </c>
      <c r="J68" s="72">
        <v>58.15</v>
      </c>
      <c r="K68" s="81">
        <f t="shared" si="1"/>
        <v>73.269</v>
      </c>
      <c r="L68" s="80">
        <f t="shared" si="2"/>
        <v>73208.91942</v>
      </c>
    </row>
    <row r="69" spans="1:12" ht="12.75">
      <c r="A69" s="71"/>
      <c r="B69" s="71"/>
      <c r="C69" s="215"/>
      <c r="D69" s="215"/>
      <c r="E69" s="71"/>
      <c r="F69" s="72"/>
      <c r="G69" s="72"/>
      <c r="H69" s="78">
        <f>H68-494.22</f>
        <v>11.049999999999955</v>
      </c>
      <c r="I69" s="79">
        <f t="shared" si="0"/>
        <v>-11.049999999999955</v>
      </c>
      <c r="J69" s="72"/>
      <c r="K69" s="81"/>
      <c r="L69" s="80"/>
    </row>
    <row r="70" spans="1:12" ht="12.75">
      <c r="A70" s="72">
        <v>7</v>
      </c>
      <c r="B70" s="71"/>
      <c r="C70" s="212" t="s">
        <v>52</v>
      </c>
      <c r="D70" s="212"/>
      <c r="E70" s="71"/>
      <c r="F70" s="72"/>
      <c r="G70" s="72"/>
      <c r="H70" s="78"/>
      <c r="I70" s="79">
        <f t="shared" si="0"/>
        <v>0</v>
      </c>
      <c r="J70" s="72"/>
      <c r="K70" s="81"/>
      <c r="L70" s="80"/>
    </row>
    <row r="71" spans="1:12" ht="12.75">
      <c r="A71" s="69" t="s">
        <v>252</v>
      </c>
      <c r="B71" s="71"/>
      <c r="C71" s="212" t="s">
        <v>253</v>
      </c>
      <c r="D71" s="212"/>
      <c r="E71" s="71"/>
      <c r="F71" s="72"/>
      <c r="G71" s="72"/>
      <c r="H71" s="78"/>
      <c r="I71" s="79">
        <f t="shared" si="0"/>
        <v>0</v>
      </c>
      <c r="J71" s="72"/>
      <c r="K71" s="81"/>
      <c r="L71" s="80"/>
    </row>
    <row r="72" spans="1:12" ht="12.75">
      <c r="A72" s="69" t="s">
        <v>254</v>
      </c>
      <c r="B72" s="71" t="s">
        <v>255</v>
      </c>
      <c r="C72" s="212" t="s">
        <v>256</v>
      </c>
      <c r="D72" s="212"/>
      <c r="E72" s="71"/>
      <c r="F72" s="72" t="s">
        <v>122</v>
      </c>
      <c r="G72" s="72">
        <v>196.37</v>
      </c>
      <c r="H72" s="78">
        <f>196.37</f>
        <v>196.37</v>
      </c>
      <c r="I72" s="79">
        <f t="shared" si="0"/>
        <v>0</v>
      </c>
      <c r="J72" s="72">
        <v>30.32</v>
      </c>
      <c r="K72" s="81">
        <f t="shared" si="1"/>
        <v>38.2032</v>
      </c>
      <c r="L72" s="80">
        <f t="shared" si="2"/>
        <v>7501.962384</v>
      </c>
    </row>
    <row r="73" spans="1:12" ht="30.75" customHeight="1">
      <c r="A73" s="69" t="s">
        <v>257</v>
      </c>
      <c r="B73" s="71" t="s">
        <v>258</v>
      </c>
      <c r="C73" s="217" t="s">
        <v>259</v>
      </c>
      <c r="D73" s="217"/>
      <c r="E73" s="71"/>
      <c r="F73" s="72" t="s">
        <v>260</v>
      </c>
      <c r="G73" s="72">
        <v>14.55</v>
      </c>
      <c r="H73" s="78">
        <f>14.55</f>
        <v>14.55</v>
      </c>
      <c r="I73" s="79">
        <f t="shared" si="0"/>
        <v>0</v>
      </c>
      <c r="J73" s="72">
        <v>1130</v>
      </c>
      <c r="K73" s="81">
        <f t="shared" si="1"/>
        <v>1423.8</v>
      </c>
      <c r="L73" s="80">
        <f t="shared" si="2"/>
        <v>20716.29</v>
      </c>
    </row>
    <row r="74" spans="1:12" ht="12.75">
      <c r="A74" s="69" t="s">
        <v>261</v>
      </c>
      <c r="B74" s="71" t="s">
        <v>262</v>
      </c>
      <c r="C74" s="212" t="s">
        <v>263</v>
      </c>
      <c r="D74" s="212"/>
      <c r="E74" s="71"/>
      <c r="F74" s="72" t="s">
        <v>260</v>
      </c>
      <c r="G74" s="72">
        <v>766.52</v>
      </c>
      <c r="H74" s="78">
        <f>766.52</f>
        <v>766.52</v>
      </c>
      <c r="I74" s="79">
        <f t="shared" si="0"/>
        <v>0</v>
      </c>
      <c r="J74" s="72">
        <v>25</v>
      </c>
      <c r="K74" s="81">
        <f t="shared" si="1"/>
        <v>31.5</v>
      </c>
      <c r="L74" s="80">
        <f t="shared" si="2"/>
        <v>24145.38</v>
      </c>
    </row>
    <row r="75" spans="1:12" ht="12.75">
      <c r="A75" s="69" t="s">
        <v>264</v>
      </c>
      <c r="B75" s="71" t="s">
        <v>265</v>
      </c>
      <c r="C75" s="212" t="s">
        <v>266</v>
      </c>
      <c r="D75" s="212"/>
      <c r="E75" s="71"/>
      <c r="F75" s="72" t="s">
        <v>122</v>
      </c>
      <c r="G75" s="72">
        <v>232.74</v>
      </c>
      <c r="H75" s="78">
        <v>232.74</v>
      </c>
      <c r="I75" s="79">
        <f aca="true" t="shared" si="3" ref="I75:I81">G75-H75</f>
        <v>0</v>
      </c>
      <c r="J75" s="72">
        <v>3.59</v>
      </c>
      <c r="K75" s="81">
        <f aca="true" t="shared" si="4" ref="K75:K81">(J75*0.26)+J75</f>
        <v>4.5234</v>
      </c>
      <c r="L75" s="80">
        <f aca="true" t="shared" si="5" ref="L75:L81">G75*K75</f>
        <v>1052.776116</v>
      </c>
    </row>
    <row r="76" spans="1:12" ht="30.75" customHeight="1">
      <c r="A76" s="69" t="s">
        <v>267</v>
      </c>
      <c r="B76" s="71" t="s">
        <v>268</v>
      </c>
      <c r="C76" s="217" t="s">
        <v>269</v>
      </c>
      <c r="D76" s="217"/>
      <c r="E76" s="71"/>
      <c r="F76" s="72" t="s">
        <v>122</v>
      </c>
      <c r="G76" s="72">
        <v>232.74</v>
      </c>
      <c r="H76" s="78">
        <v>232.74</v>
      </c>
      <c r="I76" s="79">
        <f t="shared" si="3"/>
        <v>0</v>
      </c>
      <c r="J76" s="72">
        <v>21.12</v>
      </c>
      <c r="K76" s="81">
        <f t="shared" si="4"/>
        <v>26.6112</v>
      </c>
      <c r="L76" s="80">
        <f t="shared" si="5"/>
        <v>6193.490688</v>
      </c>
    </row>
    <row r="77" spans="1:12" ht="12.75">
      <c r="A77" s="69" t="s">
        <v>270</v>
      </c>
      <c r="B77" s="71" t="s">
        <v>53</v>
      </c>
      <c r="C77" s="214" t="s">
        <v>54</v>
      </c>
      <c r="D77" s="214"/>
      <c r="E77" s="71"/>
      <c r="F77" s="72" t="s">
        <v>122</v>
      </c>
      <c r="G77" s="72">
        <v>232.74</v>
      </c>
      <c r="H77" s="78">
        <f>232.74</f>
        <v>232.74</v>
      </c>
      <c r="I77" s="79">
        <f t="shared" si="3"/>
        <v>0</v>
      </c>
      <c r="J77" s="72">
        <v>3.3</v>
      </c>
      <c r="K77" s="81">
        <f t="shared" si="4"/>
        <v>4.1579999999999995</v>
      </c>
      <c r="L77" s="80">
        <f t="shared" si="5"/>
        <v>967.7329199999999</v>
      </c>
    </row>
    <row r="78" spans="1:12" ht="33" customHeight="1">
      <c r="A78" s="69" t="s">
        <v>271</v>
      </c>
      <c r="B78" s="71" t="s">
        <v>55</v>
      </c>
      <c r="C78" s="217" t="s">
        <v>272</v>
      </c>
      <c r="D78" s="217"/>
      <c r="E78" s="71"/>
      <c r="F78" s="72" t="s">
        <v>122</v>
      </c>
      <c r="G78" s="72">
        <v>232.74</v>
      </c>
      <c r="H78" s="78">
        <f>232.74</f>
        <v>232.74</v>
      </c>
      <c r="I78" s="79">
        <f t="shared" si="3"/>
        <v>0</v>
      </c>
      <c r="J78" s="72">
        <v>9.35</v>
      </c>
      <c r="K78" s="81">
        <f t="shared" si="4"/>
        <v>11.780999999999999</v>
      </c>
      <c r="L78" s="80">
        <f t="shared" si="5"/>
        <v>2741.90994</v>
      </c>
    </row>
    <row r="79" spans="1:12" ht="30.75" customHeight="1">
      <c r="A79" s="69" t="s">
        <v>273</v>
      </c>
      <c r="B79" s="71" t="s">
        <v>274</v>
      </c>
      <c r="C79" s="217" t="s">
        <v>275</v>
      </c>
      <c r="D79" s="217"/>
      <c r="E79" s="71"/>
      <c r="F79" s="72" t="s">
        <v>122</v>
      </c>
      <c r="G79" s="72">
        <v>564.37</v>
      </c>
      <c r="H79" s="78">
        <f>564.37</f>
        <v>564.37</v>
      </c>
      <c r="I79" s="79">
        <f t="shared" si="3"/>
        <v>0</v>
      </c>
      <c r="J79" s="72">
        <v>29.75</v>
      </c>
      <c r="K79" s="81">
        <f t="shared" si="4"/>
        <v>37.485</v>
      </c>
      <c r="L79" s="80">
        <f t="shared" si="5"/>
        <v>21155.40945</v>
      </c>
    </row>
    <row r="80" spans="1:12" ht="30" customHeight="1">
      <c r="A80" s="69" t="s">
        <v>276</v>
      </c>
      <c r="B80" s="71" t="s">
        <v>277</v>
      </c>
      <c r="C80" s="217" t="s">
        <v>278</v>
      </c>
      <c r="D80" s="217"/>
      <c r="E80" s="71"/>
      <c r="F80" s="72" t="s">
        <v>260</v>
      </c>
      <c r="G80" s="72">
        <v>6.2</v>
      </c>
      <c r="H80" s="78">
        <f>6.2</f>
        <v>6.2</v>
      </c>
      <c r="I80" s="79">
        <f t="shared" si="3"/>
        <v>0</v>
      </c>
      <c r="J80" s="72">
        <v>1771.35</v>
      </c>
      <c r="K80" s="81">
        <f t="shared" si="4"/>
        <v>2231.901</v>
      </c>
      <c r="L80" s="80">
        <f t="shared" si="5"/>
        <v>13837.786199999999</v>
      </c>
    </row>
    <row r="81" spans="1:12" ht="30" customHeight="1">
      <c r="A81" s="69" t="s">
        <v>279</v>
      </c>
      <c r="B81" s="71" t="s">
        <v>280</v>
      </c>
      <c r="C81" s="217" t="s">
        <v>281</v>
      </c>
      <c r="D81" s="217"/>
      <c r="E81" s="71"/>
      <c r="F81" s="72" t="s">
        <v>23</v>
      </c>
      <c r="G81" s="72">
        <v>139.66</v>
      </c>
      <c r="H81" s="78">
        <v>139.66</v>
      </c>
      <c r="I81" s="79">
        <f t="shared" si="3"/>
        <v>0</v>
      </c>
      <c r="J81" s="72">
        <v>273.15</v>
      </c>
      <c r="K81" s="81">
        <f t="shared" si="4"/>
        <v>344.169</v>
      </c>
      <c r="L81" s="80">
        <f t="shared" si="5"/>
        <v>48066.64253999999</v>
      </c>
    </row>
    <row r="82" spans="1:12" ht="12.75">
      <c r="A82" s="71"/>
      <c r="B82" s="71"/>
      <c r="C82" s="215"/>
      <c r="D82" s="215"/>
      <c r="E82" s="71"/>
      <c r="F82" s="71"/>
      <c r="G82" s="72"/>
      <c r="H82" s="78"/>
      <c r="I82" s="79"/>
      <c r="J82" s="72"/>
      <c r="K82" s="72"/>
      <c r="L82" s="80"/>
    </row>
    <row r="83" spans="1:12" ht="14.25">
      <c r="A83" s="218" t="s">
        <v>27</v>
      </c>
      <c r="B83" s="218"/>
      <c r="C83" s="218"/>
      <c r="D83" s="218"/>
      <c r="E83" s="218"/>
      <c r="F83" s="218"/>
      <c r="G83" s="218"/>
      <c r="H83" s="218"/>
      <c r="I83" s="218"/>
      <c r="J83" s="218"/>
      <c r="K83" s="218"/>
      <c r="L83" s="84">
        <v>415578.43</v>
      </c>
    </row>
    <row r="85" ht="12.75">
      <c r="L85">
        <v>308847.22</v>
      </c>
    </row>
    <row r="86" ht="12.75">
      <c r="L86" s="93">
        <f>L85/L83</f>
        <v>0.7431743269254855</v>
      </c>
    </row>
  </sheetData>
  <sheetProtection/>
  <mergeCells count="86">
    <mergeCell ref="C75:D75"/>
    <mergeCell ref="C82:D82"/>
    <mergeCell ref="A83:K83"/>
    <mergeCell ref="C76:D76"/>
    <mergeCell ref="C77:D77"/>
    <mergeCell ref="C78:D78"/>
    <mergeCell ref="C79:D79"/>
    <mergeCell ref="C80:D80"/>
    <mergeCell ref="C81:D81"/>
    <mergeCell ref="C71:D71"/>
    <mergeCell ref="C72:D72"/>
    <mergeCell ref="C73:D73"/>
    <mergeCell ref="C74:D74"/>
    <mergeCell ref="C67:D67"/>
    <mergeCell ref="C68:D68"/>
    <mergeCell ref="C69:D69"/>
    <mergeCell ref="C70:D70"/>
    <mergeCell ref="C63:D63"/>
    <mergeCell ref="C64:D64"/>
    <mergeCell ref="C65:D65"/>
    <mergeCell ref="C66:D66"/>
    <mergeCell ref="C59:D59"/>
    <mergeCell ref="C60:D60"/>
    <mergeCell ref="C61:D61"/>
    <mergeCell ref="C62:D62"/>
    <mergeCell ref="C55:D55"/>
    <mergeCell ref="C56:D56"/>
    <mergeCell ref="C57:D57"/>
    <mergeCell ref="C58:D58"/>
    <mergeCell ref="C51:D51"/>
    <mergeCell ref="C52:D52"/>
    <mergeCell ref="C53:D53"/>
    <mergeCell ref="C54:D54"/>
    <mergeCell ref="C47:D47"/>
    <mergeCell ref="C48:D48"/>
    <mergeCell ref="C49:D49"/>
    <mergeCell ref="C50:D50"/>
    <mergeCell ref="C43:D43"/>
    <mergeCell ref="C44:D44"/>
    <mergeCell ref="C45:D45"/>
    <mergeCell ref="C46:D46"/>
    <mergeCell ref="C39:D39"/>
    <mergeCell ref="C40:D40"/>
    <mergeCell ref="C41:D41"/>
    <mergeCell ref="C42:D42"/>
    <mergeCell ref="C35:D35"/>
    <mergeCell ref="C36:D36"/>
    <mergeCell ref="C37:D37"/>
    <mergeCell ref="C38:D38"/>
    <mergeCell ref="C31:D31"/>
    <mergeCell ref="C32:D32"/>
    <mergeCell ref="C33:D33"/>
    <mergeCell ref="C34:D34"/>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C18:D18"/>
    <mergeCell ref="C11:E11"/>
    <mergeCell ref="C12:E12"/>
    <mergeCell ref="C13:E13"/>
    <mergeCell ref="C14:D14"/>
    <mergeCell ref="C8:E8"/>
    <mergeCell ref="C9:E9"/>
    <mergeCell ref="C10:E10"/>
    <mergeCell ref="D4:L4"/>
    <mergeCell ref="D5:J6"/>
    <mergeCell ref="K5:L5"/>
    <mergeCell ref="K6:L6"/>
    <mergeCell ref="A1:L1"/>
    <mergeCell ref="A2:F2"/>
    <mergeCell ref="G2:L2"/>
    <mergeCell ref="A3:F3"/>
    <mergeCell ref="G3:L3"/>
    <mergeCell ref="C7:E7"/>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N146"/>
  <sheetViews>
    <sheetView showGridLines="0" showZeros="0" tabSelected="1" view="pageBreakPreview" zoomScale="120" zoomScaleSheetLayoutView="120" zoomScalePageLayoutView="0" workbookViewId="0" topLeftCell="A13">
      <selection activeCell="O132" sqref="O132"/>
    </sheetView>
  </sheetViews>
  <sheetFormatPr defaultColWidth="9.140625" defaultRowHeight="12.75"/>
  <cols>
    <col min="1" max="1" width="6.140625" style="0" bestFit="1" customWidth="1"/>
    <col min="2" max="2" width="8.7109375" style="0" bestFit="1" customWidth="1"/>
    <col min="3" max="3" width="53.28125" style="121" customWidth="1"/>
    <col min="5" max="5" width="13.8515625" style="0" customWidth="1"/>
    <col min="6" max="6" width="12.28125" style="0" customWidth="1"/>
    <col min="7" max="7" width="12.28125" style="0" bestFit="1" customWidth="1"/>
    <col min="8" max="8" width="14.28125" style="0" bestFit="1" customWidth="1"/>
    <col min="9" max="9" width="0" style="0" hidden="1" customWidth="1"/>
    <col min="10" max="10" width="13.140625" style="0" hidden="1" customWidth="1"/>
    <col min="12" max="12" width="10.7109375" style="0" bestFit="1" customWidth="1"/>
  </cols>
  <sheetData>
    <row r="1" spans="1:10" ht="12.75">
      <c r="A1" s="225"/>
      <c r="B1" s="226"/>
      <c r="C1" s="227"/>
      <c r="D1" s="227"/>
      <c r="E1" s="227"/>
      <c r="F1" s="227"/>
      <c r="G1" s="227"/>
      <c r="H1" s="228"/>
      <c r="I1" s="225"/>
      <c r="J1" s="226"/>
    </row>
    <row r="2" spans="1:10" ht="59.25" customHeight="1" thickBot="1">
      <c r="A2" s="223"/>
      <c r="B2" s="194"/>
      <c r="C2" s="194"/>
      <c r="D2" s="194"/>
      <c r="E2" s="194"/>
      <c r="F2" s="194"/>
      <c r="G2" s="194"/>
      <c r="H2" s="224"/>
      <c r="I2" s="223"/>
      <c r="J2" s="194"/>
    </row>
    <row r="3" spans="1:10" ht="13.5" thickBot="1">
      <c r="A3" s="187" t="s">
        <v>4</v>
      </c>
      <c r="B3" s="188"/>
      <c r="C3" s="188"/>
      <c r="D3" s="188"/>
      <c r="E3" s="188"/>
      <c r="F3" s="188"/>
      <c r="G3" s="188"/>
      <c r="H3" s="189"/>
      <c r="I3" s="187" t="s">
        <v>4</v>
      </c>
      <c r="J3" s="188"/>
    </row>
    <row r="4" spans="1:10" ht="12.75" customHeight="1">
      <c r="A4" s="234" t="s">
        <v>633</v>
      </c>
      <c r="B4" s="235"/>
      <c r="C4" s="235"/>
      <c r="D4" s="236"/>
      <c r="E4" s="176" t="s">
        <v>528</v>
      </c>
      <c r="F4" s="237"/>
      <c r="G4" s="237"/>
      <c r="H4" s="238"/>
      <c r="I4" s="234" t="s">
        <v>288</v>
      </c>
      <c r="J4" s="235"/>
    </row>
    <row r="5" spans="1:10" ht="12.75" customHeight="1">
      <c r="A5" s="201" t="s">
        <v>529</v>
      </c>
      <c r="B5" s="202"/>
      <c r="C5" s="202"/>
      <c r="D5" s="203"/>
      <c r="E5" s="184" t="s">
        <v>12</v>
      </c>
      <c r="F5" s="185"/>
      <c r="G5" s="185"/>
      <c r="H5" s="186"/>
      <c r="I5" s="201" t="s">
        <v>529</v>
      </c>
      <c r="J5" s="202"/>
    </row>
    <row r="6" spans="1:10" ht="30.75" customHeight="1">
      <c r="A6" s="201" t="s">
        <v>635</v>
      </c>
      <c r="B6" s="202"/>
      <c r="C6" s="202"/>
      <c r="D6" s="203"/>
      <c r="E6" s="173" t="s">
        <v>8</v>
      </c>
      <c r="F6" s="171" t="s">
        <v>6</v>
      </c>
      <c r="G6" s="10" t="s">
        <v>26</v>
      </c>
      <c r="H6" s="7" t="s">
        <v>7</v>
      </c>
      <c r="I6" s="201" t="s">
        <v>530</v>
      </c>
      <c r="J6" s="202"/>
    </row>
    <row r="7" spans="1:10" ht="13.5" customHeight="1" thickBot="1">
      <c r="A7" s="204" t="s">
        <v>531</v>
      </c>
      <c r="B7" s="205"/>
      <c r="C7" s="205"/>
      <c r="D7" s="206"/>
      <c r="E7" s="174"/>
      <c r="F7" s="172"/>
      <c r="G7" s="12" t="s">
        <v>532</v>
      </c>
      <c r="H7" s="43">
        <v>0.2247</v>
      </c>
      <c r="I7" s="204" t="s">
        <v>531</v>
      </c>
      <c r="J7" s="205"/>
    </row>
    <row r="8" spans="1:10" ht="13.5" thickBot="1">
      <c r="A8" s="220"/>
      <c r="B8" s="193"/>
      <c r="C8" s="193"/>
      <c r="D8" s="193"/>
      <c r="E8" s="193"/>
      <c r="F8" s="193"/>
      <c r="G8" s="193"/>
      <c r="H8" s="221"/>
      <c r="I8" s="220"/>
      <c r="J8" s="193"/>
    </row>
    <row r="9" spans="1:10" ht="39.75" thickBot="1">
      <c r="A9" s="2" t="s">
        <v>0</v>
      </c>
      <c r="B9" s="3" t="s">
        <v>5</v>
      </c>
      <c r="C9" s="3" t="s">
        <v>1</v>
      </c>
      <c r="D9" s="3" t="s">
        <v>3</v>
      </c>
      <c r="E9" s="3" t="s">
        <v>2</v>
      </c>
      <c r="F9" s="4" t="s">
        <v>533</v>
      </c>
      <c r="G9" s="4" t="s">
        <v>534</v>
      </c>
      <c r="H9" s="5" t="s">
        <v>10</v>
      </c>
      <c r="I9" s="2" t="s">
        <v>0</v>
      </c>
      <c r="J9" s="3" t="s">
        <v>5</v>
      </c>
    </row>
    <row r="10" spans="1:8" ht="3.75" customHeight="1" thickBot="1">
      <c r="A10" s="220"/>
      <c r="B10" s="193"/>
      <c r="C10" s="193"/>
      <c r="D10" s="193"/>
      <c r="E10" s="193"/>
      <c r="F10" s="193"/>
      <c r="G10" s="193"/>
      <c r="H10" s="221"/>
    </row>
    <row r="11" spans="1:8" s="25" customFormat="1" ht="16.5" customHeight="1">
      <c r="A11" s="129">
        <v>1</v>
      </c>
      <c r="B11" s="130"/>
      <c r="C11" s="131" t="s">
        <v>292</v>
      </c>
      <c r="D11" s="132"/>
      <c r="E11" s="133"/>
      <c r="F11" s="133"/>
      <c r="G11" s="133"/>
      <c r="H11" s="154" t="e">
        <f>SUM(H12:H14)</f>
        <v>#REF!</v>
      </c>
    </row>
    <row r="12" spans="1:12" s="111" customFormat="1" ht="24" customHeight="1">
      <c r="A12" s="115" t="s">
        <v>16</v>
      </c>
      <c r="B12" s="116">
        <v>90777</v>
      </c>
      <c r="C12" s="117" t="s">
        <v>497</v>
      </c>
      <c r="D12" s="109" t="s">
        <v>287</v>
      </c>
      <c r="E12" s="108" t="e">
        <f>#REF!</f>
        <v>#REF!</v>
      </c>
      <c r="F12" s="126">
        <v>114.12</v>
      </c>
      <c r="G12" s="163">
        <v>139.76</v>
      </c>
      <c r="H12" s="155" t="e">
        <f>E12*G12</f>
        <v>#REF!</v>
      </c>
      <c r="L12" s="143">
        <f>F12*1.2247</f>
        <v>139.762764</v>
      </c>
    </row>
    <row r="13" spans="1:12" s="111" customFormat="1" ht="15" customHeight="1">
      <c r="A13" s="115" t="s">
        <v>18</v>
      </c>
      <c r="B13" s="116">
        <v>90776</v>
      </c>
      <c r="C13" s="117" t="s">
        <v>498</v>
      </c>
      <c r="D13" s="109" t="s">
        <v>287</v>
      </c>
      <c r="E13" s="108" t="e">
        <f>#REF!</f>
        <v>#REF!</v>
      </c>
      <c r="F13" s="126">
        <v>50.64</v>
      </c>
      <c r="G13" s="163">
        <v>62.02</v>
      </c>
      <c r="H13" s="155" t="e">
        <f>E13*G13</f>
        <v>#REF!</v>
      </c>
      <c r="L13" s="143">
        <f aca="true" t="shared" si="0" ref="L13:L68">F13*1.2247</f>
        <v>62.01880799999999</v>
      </c>
    </row>
    <row r="14" spans="1:12" s="111" customFormat="1" ht="20.25">
      <c r="A14" s="115" t="s">
        <v>291</v>
      </c>
      <c r="B14" s="116" t="s">
        <v>631</v>
      </c>
      <c r="C14" s="117" t="s">
        <v>632</v>
      </c>
      <c r="D14" s="109" t="s">
        <v>293</v>
      </c>
      <c r="E14" s="149">
        <v>0.5</v>
      </c>
      <c r="F14" s="126">
        <v>3054.2</v>
      </c>
      <c r="G14" s="163">
        <f>F14</f>
        <v>3054.2</v>
      </c>
      <c r="H14" s="155">
        <f>G14</f>
        <v>3054.2</v>
      </c>
      <c r="L14" s="143" t="e">
        <f>H139*0.005</f>
        <v>#REF!</v>
      </c>
    </row>
    <row r="15" spans="1:12" s="134" customFormat="1" ht="16.5" customHeight="1">
      <c r="A15" s="129">
        <v>2</v>
      </c>
      <c r="B15" s="130"/>
      <c r="C15" s="131" t="s">
        <v>289</v>
      </c>
      <c r="D15" s="132"/>
      <c r="E15" s="133"/>
      <c r="F15" s="142"/>
      <c r="G15" s="133"/>
      <c r="H15" s="156">
        <f>H16</f>
        <v>1709.89</v>
      </c>
      <c r="L15" s="143">
        <f t="shared" si="0"/>
        <v>0</v>
      </c>
    </row>
    <row r="16" spans="1:12" s="111" customFormat="1" ht="60.75">
      <c r="A16" s="115" t="s">
        <v>19</v>
      </c>
      <c r="B16" s="116" t="s">
        <v>535</v>
      </c>
      <c r="C16" s="117" t="s">
        <v>536</v>
      </c>
      <c r="D16" s="109" t="s">
        <v>286</v>
      </c>
      <c r="E16" s="108">
        <v>1</v>
      </c>
      <c r="F16" s="126">
        <v>1396.17</v>
      </c>
      <c r="G16" s="163">
        <v>1709.89</v>
      </c>
      <c r="H16" s="157">
        <f>E16*G16</f>
        <v>1709.89</v>
      </c>
      <c r="L16" s="143">
        <f t="shared" si="0"/>
        <v>1709.889399</v>
      </c>
    </row>
    <row r="17" spans="1:12" s="134" customFormat="1" ht="16.5" customHeight="1">
      <c r="A17" s="129">
        <v>3</v>
      </c>
      <c r="B17" s="135"/>
      <c r="C17" s="231" t="s">
        <v>618</v>
      </c>
      <c r="D17" s="232"/>
      <c r="E17" s="233"/>
      <c r="F17" s="138"/>
      <c r="G17" s="138"/>
      <c r="H17" s="158" t="e">
        <f>SUM(H18:H24)</f>
        <v>#REF!</v>
      </c>
      <c r="L17" s="143">
        <f t="shared" si="0"/>
        <v>0</v>
      </c>
    </row>
    <row r="18" spans="1:12" s="111" customFormat="1" ht="12.75">
      <c r="A18" s="115" t="s">
        <v>22</v>
      </c>
      <c r="B18" s="32" t="s">
        <v>493</v>
      </c>
      <c r="C18" s="114" t="s">
        <v>494</v>
      </c>
      <c r="D18" s="112" t="s">
        <v>260</v>
      </c>
      <c r="E18" s="145" t="e">
        <f>#REF!</f>
        <v>#REF!</v>
      </c>
      <c r="F18" s="144">
        <v>67.39</v>
      </c>
      <c r="G18" s="162">
        <v>82.53</v>
      </c>
      <c r="H18" s="157" t="e">
        <f aca="true" t="shared" si="1" ref="H18:H24">E18*G18</f>
        <v>#REF!</v>
      </c>
      <c r="L18" s="143">
        <f t="shared" si="0"/>
        <v>82.532533</v>
      </c>
    </row>
    <row r="19" spans="1:12" s="111" customFormat="1" ht="22.5" customHeight="1">
      <c r="A19" s="115" t="s">
        <v>94</v>
      </c>
      <c r="B19" s="32" t="s">
        <v>490</v>
      </c>
      <c r="C19" s="114" t="s">
        <v>489</v>
      </c>
      <c r="D19" s="112" t="s">
        <v>290</v>
      </c>
      <c r="E19" s="145" t="e">
        <f>#REF!</f>
        <v>#REF!</v>
      </c>
      <c r="F19" s="144">
        <v>11.94</v>
      </c>
      <c r="G19" s="162">
        <v>14.62</v>
      </c>
      <c r="H19" s="157" t="e">
        <f t="shared" si="1"/>
        <v>#REF!</v>
      </c>
      <c r="L19" s="143">
        <f t="shared" si="0"/>
        <v>14.622917999999999</v>
      </c>
    </row>
    <row r="20" spans="1:12" s="111" customFormat="1" ht="20.25">
      <c r="A20" s="115" t="s">
        <v>95</v>
      </c>
      <c r="B20" s="32" t="s">
        <v>492</v>
      </c>
      <c r="C20" s="114" t="s">
        <v>491</v>
      </c>
      <c r="D20" s="112" t="s">
        <v>290</v>
      </c>
      <c r="E20" s="145" t="e">
        <f>#REF!</f>
        <v>#REF!</v>
      </c>
      <c r="F20" s="144">
        <v>12</v>
      </c>
      <c r="G20" s="162">
        <v>14.7</v>
      </c>
      <c r="H20" s="157" t="e">
        <f t="shared" si="1"/>
        <v>#REF!</v>
      </c>
      <c r="L20" s="143">
        <f t="shared" si="0"/>
        <v>14.696399999999999</v>
      </c>
    </row>
    <row r="21" spans="1:12" s="111" customFormat="1" ht="20.25">
      <c r="A21" s="115" t="s">
        <v>96</v>
      </c>
      <c r="B21" s="118" t="s">
        <v>501</v>
      </c>
      <c r="C21" s="114" t="s">
        <v>539</v>
      </c>
      <c r="D21" s="119" t="s">
        <v>122</v>
      </c>
      <c r="E21" s="145" t="e">
        <f>#REF!</f>
        <v>#REF!</v>
      </c>
      <c r="F21" s="127">
        <v>51.88</v>
      </c>
      <c r="G21" s="150">
        <v>63.54</v>
      </c>
      <c r="H21" s="157" t="e">
        <f t="shared" si="1"/>
        <v>#REF!</v>
      </c>
      <c r="L21" s="143">
        <f t="shared" si="0"/>
        <v>63.537436</v>
      </c>
    </row>
    <row r="22" spans="1:12" s="111" customFormat="1" ht="30">
      <c r="A22" s="115" t="s">
        <v>503</v>
      </c>
      <c r="B22" s="118" t="s">
        <v>496</v>
      </c>
      <c r="C22" s="114" t="s">
        <v>495</v>
      </c>
      <c r="D22" s="119" t="s">
        <v>260</v>
      </c>
      <c r="E22" s="145" t="e">
        <f>#REF!</f>
        <v>#REF!</v>
      </c>
      <c r="F22" s="127">
        <v>727.19</v>
      </c>
      <c r="G22" s="150">
        <v>890.59</v>
      </c>
      <c r="H22" s="157" t="e">
        <f t="shared" si="1"/>
        <v>#REF!</v>
      </c>
      <c r="L22" s="143">
        <f t="shared" si="0"/>
        <v>890.589593</v>
      </c>
    </row>
    <row r="23" spans="1:12" s="111" customFormat="1" ht="20.25">
      <c r="A23" s="115" t="s">
        <v>504</v>
      </c>
      <c r="B23" s="32" t="s">
        <v>540</v>
      </c>
      <c r="C23" s="114" t="s">
        <v>541</v>
      </c>
      <c r="D23" s="109" t="s">
        <v>260</v>
      </c>
      <c r="E23" s="145" t="e">
        <f>#REF!</f>
        <v>#REF!</v>
      </c>
      <c r="F23" s="128">
        <v>25.73</v>
      </c>
      <c r="G23" s="162">
        <v>31.51</v>
      </c>
      <c r="H23" s="157" t="e">
        <f t="shared" si="1"/>
        <v>#REF!</v>
      </c>
      <c r="L23" s="143">
        <f t="shared" si="0"/>
        <v>31.511530999999998</v>
      </c>
    </row>
    <row r="24" spans="1:12" s="111" customFormat="1" ht="40.5">
      <c r="A24" s="115" t="s">
        <v>505</v>
      </c>
      <c r="B24" s="146" t="s">
        <v>537</v>
      </c>
      <c r="C24" s="147" t="s">
        <v>542</v>
      </c>
      <c r="D24" s="148" t="s">
        <v>538</v>
      </c>
      <c r="E24" s="149">
        <v>7.8</v>
      </c>
      <c r="F24" s="126">
        <v>395.67</v>
      </c>
      <c r="G24" s="163">
        <v>484.58</v>
      </c>
      <c r="H24" s="157">
        <f t="shared" si="1"/>
        <v>3779.7239999999997</v>
      </c>
      <c r="L24" s="143">
        <f t="shared" si="0"/>
        <v>484.577049</v>
      </c>
    </row>
    <row r="25" spans="1:12" s="134" customFormat="1" ht="16.5" customHeight="1">
      <c r="A25" s="129">
        <v>4</v>
      </c>
      <c r="B25" s="135"/>
      <c r="C25" s="136" t="s">
        <v>294</v>
      </c>
      <c r="D25" s="137"/>
      <c r="E25" s="138"/>
      <c r="F25" s="138"/>
      <c r="G25" s="138"/>
      <c r="H25" s="158" t="e">
        <f>SUM(H26:H29)</f>
        <v>#REF!</v>
      </c>
      <c r="L25" s="143">
        <f t="shared" si="0"/>
        <v>0</v>
      </c>
    </row>
    <row r="26" spans="1:12" s="111" customFormat="1" ht="30">
      <c r="A26" s="115" t="s">
        <v>81</v>
      </c>
      <c r="B26" s="118" t="s">
        <v>543</v>
      </c>
      <c r="C26" s="114" t="s">
        <v>545</v>
      </c>
      <c r="D26" s="119" t="s">
        <v>122</v>
      </c>
      <c r="E26" s="145" t="e">
        <f>#REF!</f>
        <v>#REF!</v>
      </c>
      <c r="F26" s="127">
        <v>66.18</v>
      </c>
      <c r="G26" s="150">
        <v>81.05</v>
      </c>
      <c r="H26" s="157" t="e">
        <f>E26*G26</f>
        <v>#REF!</v>
      </c>
      <c r="L26" s="143">
        <f t="shared" si="0"/>
        <v>81.050646</v>
      </c>
    </row>
    <row r="27" spans="1:12" s="111" customFormat="1" ht="33.75" customHeight="1">
      <c r="A27" s="115" t="s">
        <v>510</v>
      </c>
      <c r="B27" s="118" t="s">
        <v>544</v>
      </c>
      <c r="C27" s="114" t="s">
        <v>546</v>
      </c>
      <c r="D27" s="119" t="s">
        <v>122</v>
      </c>
      <c r="E27" s="145" t="e">
        <f>#REF!</f>
        <v>#REF!</v>
      </c>
      <c r="F27" s="127">
        <v>48.95</v>
      </c>
      <c r="G27" s="150">
        <v>59.95</v>
      </c>
      <c r="H27" s="157" t="e">
        <f>E27*G27</f>
        <v>#REF!</v>
      </c>
      <c r="L27" s="143">
        <f t="shared" si="0"/>
        <v>59.949065</v>
      </c>
    </row>
    <row r="28" spans="1:12" s="111" customFormat="1" ht="30">
      <c r="A28" s="115" t="s">
        <v>511</v>
      </c>
      <c r="B28" s="118" t="s">
        <v>547</v>
      </c>
      <c r="C28" s="114" t="s">
        <v>636</v>
      </c>
      <c r="D28" s="119" t="s">
        <v>122</v>
      </c>
      <c r="E28" s="145" t="e">
        <f>#REF!</f>
        <v>#REF!</v>
      </c>
      <c r="F28" s="127">
        <v>73.3</v>
      </c>
      <c r="G28" s="150">
        <v>89.77</v>
      </c>
      <c r="H28" s="157" t="e">
        <f>E28*G28</f>
        <v>#REF!</v>
      </c>
      <c r="L28" s="143">
        <f t="shared" si="0"/>
        <v>89.77050999999999</v>
      </c>
    </row>
    <row r="29" spans="1:12" s="111" customFormat="1" ht="20.25">
      <c r="A29" s="115" t="s">
        <v>512</v>
      </c>
      <c r="B29" s="118" t="s">
        <v>548</v>
      </c>
      <c r="C29" s="114" t="s">
        <v>549</v>
      </c>
      <c r="D29" s="119" t="s">
        <v>122</v>
      </c>
      <c r="E29" s="145">
        <v>15.12</v>
      </c>
      <c r="F29" s="127">
        <v>315.34</v>
      </c>
      <c r="G29" s="127">
        <v>386.2</v>
      </c>
      <c r="H29" s="157">
        <f>E29*G29</f>
        <v>5839.343999999999</v>
      </c>
      <c r="L29" s="143">
        <f t="shared" si="0"/>
        <v>386.1968979999999</v>
      </c>
    </row>
    <row r="30" spans="1:12" s="134" customFormat="1" ht="16.5" customHeight="1">
      <c r="A30" s="129">
        <v>5</v>
      </c>
      <c r="B30" s="135"/>
      <c r="C30" s="136" t="s">
        <v>295</v>
      </c>
      <c r="D30" s="137"/>
      <c r="E30" s="138"/>
      <c r="F30" s="138"/>
      <c r="G30" s="138"/>
      <c r="H30" s="156" t="e">
        <f>SUM(H31:H39)</f>
        <v>#REF!</v>
      </c>
      <c r="L30" s="143">
        <f t="shared" si="0"/>
        <v>0</v>
      </c>
    </row>
    <row r="31" spans="1:12" s="111" customFormat="1" ht="24" customHeight="1">
      <c r="A31" s="115" t="s">
        <v>185</v>
      </c>
      <c r="B31" s="118" t="s">
        <v>296</v>
      </c>
      <c r="C31" s="114" t="s">
        <v>297</v>
      </c>
      <c r="D31" s="119" t="s">
        <v>122</v>
      </c>
      <c r="E31" s="15" t="e">
        <f>#REF!</f>
        <v>#REF!</v>
      </c>
      <c r="F31" s="127">
        <v>396.82</v>
      </c>
      <c r="G31" s="127">
        <v>485.99</v>
      </c>
      <c r="H31" s="155" t="e">
        <f>E31*G31</f>
        <v>#REF!</v>
      </c>
      <c r="L31" s="143">
        <f t="shared" si="0"/>
        <v>485.98545399999995</v>
      </c>
    </row>
    <row r="32" spans="1:12" s="111" customFormat="1" ht="30">
      <c r="A32" s="115" t="s">
        <v>311</v>
      </c>
      <c r="B32" s="118" t="s">
        <v>298</v>
      </c>
      <c r="C32" s="114" t="s">
        <v>299</v>
      </c>
      <c r="D32" s="119" t="s">
        <v>122</v>
      </c>
      <c r="E32" s="15" t="e">
        <f>#REF!</f>
        <v>#REF!</v>
      </c>
      <c r="F32" s="150">
        <v>135.14</v>
      </c>
      <c r="G32" s="127">
        <v>165.51</v>
      </c>
      <c r="H32" s="155" t="e">
        <f aca="true" t="shared" si="2" ref="H32:H40">E32*G32</f>
        <v>#REF!</v>
      </c>
      <c r="L32" s="143">
        <f t="shared" si="0"/>
        <v>165.50595799999996</v>
      </c>
    </row>
    <row r="33" spans="1:12" s="111" customFormat="1" ht="30">
      <c r="A33" s="115" t="s">
        <v>312</v>
      </c>
      <c r="B33" s="118" t="s">
        <v>336</v>
      </c>
      <c r="C33" s="114" t="s">
        <v>337</v>
      </c>
      <c r="D33" s="119" t="s">
        <v>286</v>
      </c>
      <c r="E33" s="15">
        <v>1</v>
      </c>
      <c r="F33" s="127">
        <v>3366.42</v>
      </c>
      <c r="G33" s="127">
        <v>4122.85</v>
      </c>
      <c r="H33" s="155">
        <f t="shared" si="2"/>
        <v>4122.85</v>
      </c>
      <c r="L33" s="143">
        <f t="shared" si="0"/>
        <v>4122.854574</v>
      </c>
    </row>
    <row r="34" spans="1:12" s="111" customFormat="1" ht="30">
      <c r="A34" s="115" t="s">
        <v>335</v>
      </c>
      <c r="B34" s="118" t="s">
        <v>625</v>
      </c>
      <c r="C34" s="114" t="s">
        <v>626</v>
      </c>
      <c r="D34" s="119" t="s">
        <v>286</v>
      </c>
      <c r="E34" s="15">
        <v>4</v>
      </c>
      <c r="F34" s="127">
        <v>597.15</v>
      </c>
      <c r="G34" s="127">
        <v>731.33</v>
      </c>
      <c r="H34" s="155">
        <f t="shared" si="2"/>
        <v>2925.32</v>
      </c>
      <c r="L34" s="143">
        <f t="shared" si="0"/>
        <v>731.3296049999999</v>
      </c>
    </row>
    <row r="35" spans="1:12" s="111" customFormat="1" ht="30">
      <c r="A35" s="115" t="s">
        <v>506</v>
      </c>
      <c r="B35" s="118" t="s">
        <v>627</v>
      </c>
      <c r="C35" s="114" t="s">
        <v>628</v>
      </c>
      <c r="D35" s="119" t="s">
        <v>286</v>
      </c>
      <c r="E35" s="15">
        <v>18</v>
      </c>
      <c r="F35" s="127">
        <v>682.46</v>
      </c>
      <c r="G35" s="127">
        <v>835.81</v>
      </c>
      <c r="H35" s="155">
        <f t="shared" si="2"/>
        <v>15044.579999999998</v>
      </c>
      <c r="L35" s="143">
        <f t="shared" si="0"/>
        <v>835.808762</v>
      </c>
    </row>
    <row r="36" spans="1:12" s="111" customFormat="1" ht="12.75">
      <c r="A36" s="115" t="s">
        <v>507</v>
      </c>
      <c r="B36" s="118" t="s">
        <v>300</v>
      </c>
      <c r="C36" s="114" t="s">
        <v>301</v>
      </c>
      <c r="D36" s="119" t="s">
        <v>122</v>
      </c>
      <c r="E36" s="15" t="e">
        <f>#REF!</f>
        <v>#REF!</v>
      </c>
      <c r="F36" s="150">
        <v>783.39</v>
      </c>
      <c r="G36" s="127">
        <v>959.42</v>
      </c>
      <c r="H36" s="155" t="e">
        <f t="shared" si="2"/>
        <v>#REF!</v>
      </c>
      <c r="L36" s="143">
        <f t="shared" si="0"/>
        <v>959.4177329999999</v>
      </c>
    </row>
    <row r="37" spans="1:12" s="111" customFormat="1" ht="23.25" customHeight="1">
      <c r="A37" s="115" t="s">
        <v>508</v>
      </c>
      <c r="B37" s="118" t="s">
        <v>339</v>
      </c>
      <c r="C37" s="114" t="s">
        <v>340</v>
      </c>
      <c r="D37" s="119" t="s">
        <v>122</v>
      </c>
      <c r="E37" s="15">
        <v>11.34</v>
      </c>
      <c r="F37" s="127">
        <v>420.75</v>
      </c>
      <c r="G37" s="127">
        <v>515.29</v>
      </c>
      <c r="H37" s="155">
        <f t="shared" si="2"/>
        <v>5843.388599999999</v>
      </c>
      <c r="L37" s="143">
        <f t="shared" si="0"/>
        <v>515.292525</v>
      </c>
    </row>
    <row r="38" spans="1:14" s="111" customFormat="1" ht="23.25" customHeight="1">
      <c r="A38" s="115" t="s">
        <v>624</v>
      </c>
      <c r="B38" s="118" t="s">
        <v>368</v>
      </c>
      <c r="C38" s="114" t="s">
        <v>369</v>
      </c>
      <c r="D38" s="119" t="s">
        <v>122</v>
      </c>
      <c r="E38" s="15" t="e">
        <f>#REF!</f>
        <v>#REF!</v>
      </c>
      <c r="F38" s="150">
        <v>298.53</v>
      </c>
      <c r="G38" s="127">
        <v>365.61</v>
      </c>
      <c r="H38" s="155" t="e">
        <f t="shared" si="2"/>
        <v>#REF!</v>
      </c>
      <c r="L38" s="143">
        <f t="shared" si="0"/>
        <v>365.60969099999994</v>
      </c>
      <c r="N38" s="151" t="e">
        <f>E38+F38</f>
        <v>#REF!</v>
      </c>
    </row>
    <row r="39" spans="1:12" s="111" customFormat="1" ht="91.5">
      <c r="A39" s="115" t="s">
        <v>629</v>
      </c>
      <c r="B39" s="118" t="s">
        <v>509</v>
      </c>
      <c r="C39" s="125" t="s">
        <v>623</v>
      </c>
      <c r="D39" s="119" t="s">
        <v>286</v>
      </c>
      <c r="E39" s="15">
        <v>1</v>
      </c>
      <c r="F39" s="152">
        <v>27333.33</v>
      </c>
      <c r="G39" s="127">
        <v>33475.13</v>
      </c>
      <c r="H39" s="155">
        <f t="shared" si="2"/>
        <v>33475.13</v>
      </c>
      <c r="L39" s="143">
        <f t="shared" si="0"/>
        <v>33475.129251</v>
      </c>
    </row>
    <row r="40" spans="1:12" s="111" customFormat="1" ht="20.25">
      <c r="A40" s="115" t="s">
        <v>630</v>
      </c>
      <c r="B40" s="123" t="s">
        <v>621</v>
      </c>
      <c r="C40" s="166" t="s">
        <v>622</v>
      </c>
      <c r="D40" s="119" t="s">
        <v>122</v>
      </c>
      <c r="E40" s="108">
        <v>74.95</v>
      </c>
      <c r="F40" s="167">
        <v>142.31</v>
      </c>
      <c r="G40" s="141">
        <v>174.29</v>
      </c>
      <c r="H40" s="155">
        <f t="shared" si="2"/>
        <v>13063.0355</v>
      </c>
      <c r="L40" s="143">
        <f t="shared" si="0"/>
        <v>174.28705699999998</v>
      </c>
    </row>
    <row r="41" spans="1:12" s="134" customFormat="1" ht="16.5" customHeight="1">
      <c r="A41" s="129">
        <v>6</v>
      </c>
      <c r="B41" s="135"/>
      <c r="C41" s="136" t="s">
        <v>302</v>
      </c>
      <c r="D41" s="137"/>
      <c r="E41" s="138"/>
      <c r="F41" s="138"/>
      <c r="G41" s="138"/>
      <c r="H41" s="156" t="e">
        <f>SUM(H42:H45)</f>
        <v>#REF!</v>
      </c>
      <c r="L41" s="143">
        <f t="shared" si="0"/>
        <v>0</v>
      </c>
    </row>
    <row r="42" spans="1:12" s="111" customFormat="1" ht="30">
      <c r="A42" s="115" t="s">
        <v>245</v>
      </c>
      <c r="B42" s="118" t="s">
        <v>446</v>
      </c>
      <c r="C42" s="114" t="s">
        <v>447</v>
      </c>
      <c r="D42" s="119" t="s">
        <v>286</v>
      </c>
      <c r="E42" s="15">
        <v>3</v>
      </c>
      <c r="F42" s="127">
        <v>2777.44</v>
      </c>
      <c r="G42" s="127">
        <v>3401.53</v>
      </c>
      <c r="H42" s="155">
        <f>E42*G42</f>
        <v>10204.59</v>
      </c>
      <c r="L42" s="143">
        <f t="shared" si="0"/>
        <v>3401.5307679999996</v>
      </c>
    </row>
    <row r="43" spans="1:12" s="111" customFormat="1" ht="30">
      <c r="A43" s="115" t="s">
        <v>309</v>
      </c>
      <c r="B43" s="118" t="s">
        <v>303</v>
      </c>
      <c r="C43" s="114" t="s">
        <v>304</v>
      </c>
      <c r="D43" s="119" t="s">
        <v>122</v>
      </c>
      <c r="E43" s="15" t="e">
        <f>#REF!</f>
        <v>#REF!</v>
      </c>
      <c r="F43" s="127">
        <v>101.31</v>
      </c>
      <c r="G43" s="127">
        <v>124.07</v>
      </c>
      <c r="H43" s="155" t="e">
        <f>E43*G43</f>
        <v>#REF!</v>
      </c>
      <c r="L43" s="143">
        <f t="shared" si="0"/>
        <v>124.07435699999999</v>
      </c>
    </row>
    <row r="44" spans="1:12" s="111" customFormat="1" ht="33.75" customHeight="1">
      <c r="A44" s="115" t="s">
        <v>310</v>
      </c>
      <c r="B44" s="118" t="s">
        <v>305</v>
      </c>
      <c r="C44" s="114" t="s">
        <v>306</v>
      </c>
      <c r="D44" s="119" t="s">
        <v>122</v>
      </c>
      <c r="E44" s="15" t="e">
        <f>#REF!</f>
        <v>#REF!</v>
      </c>
      <c r="F44" s="127">
        <v>43.88</v>
      </c>
      <c r="G44" s="127">
        <v>53.74</v>
      </c>
      <c r="H44" s="155" t="e">
        <f>E44*G44</f>
        <v>#REF!</v>
      </c>
      <c r="L44" s="143">
        <f t="shared" si="0"/>
        <v>53.739836</v>
      </c>
    </row>
    <row r="45" spans="1:12" s="111" customFormat="1" ht="30">
      <c r="A45" s="115" t="s">
        <v>338</v>
      </c>
      <c r="B45" s="118" t="s">
        <v>307</v>
      </c>
      <c r="C45" s="114" t="s">
        <v>308</v>
      </c>
      <c r="D45" s="119" t="s">
        <v>23</v>
      </c>
      <c r="E45" s="15">
        <v>13.75</v>
      </c>
      <c r="F45" s="127">
        <v>28.83</v>
      </c>
      <c r="G45" s="127">
        <v>35.31</v>
      </c>
      <c r="H45" s="155">
        <f>E45*G45</f>
        <v>485.51250000000005</v>
      </c>
      <c r="L45" s="143">
        <f t="shared" si="0"/>
        <v>35.30810099999999</v>
      </c>
    </row>
    <row r="46" spans="1:12" s="134" customFormat="1" ht="16.5" customHeight="1">
      <c r="A46" s="129">
        <v>7</v>
      </c>
      <c r="B46" s="135"/>
      <c r="C46" s="136" t="s">
        <v>315</v>
      </c>
      <c r="D46" s="137"/>
      <c r="E46" s="138"/>
      <c r="F46" s="138"/>
      <c r="G46" s="138"/>
      <c r="H46" s="156" t="e">
        <f>SUM(H47:H49)</f>
        <v>#REF!</v>
      </c>
      <c r="L46" s="143">
        <f t="shared" si="0"/>
        <v>0</v>
      </c>
    </row>
    <row r="47" spans="1:12" s="111" customFormat="1" ht="45" customHeight="1">
      <c r="A47" s="115" t="s">
        <v>252</v>
      </c>
      <c r="B47" s="118" t="s">
        <v>316</v>
      </c>
      <c r="C47" s="114" t="s">
        <v>317</v>
      </c>
      <c r="D47" s="119" t="s">
        <v>122</v>
      </c>
      <c r="E47" s="15" t="e">
        <f>#REF!</f>
        <v>#REF!</v>
      </c>
      <c r="F47" s="152">
        <v>7.03</v>
      </c>
      <c r="G47" s="150">
        <v>8.61</v>
      </c>
      <c r="H47" s="157" t="e">
        <f>E47*G47</f>
        <v>#REF!</v>
      </c>
      <c r="L47" s="143">
        <f t="shared" si="0"/>
        <v>8.609641</v>
      </c>
    </row>
    <row r="48" spans="1:12" s="111" customFormat="1" ht="47.25" customHeight="1">
      <c r="A48" s="115" t="s">
        <v>313</v>
      </c>
      <c r="B48" s="118" t="s">
        <v>318</v>
      </c>
      <c r="C48" s="114" t="s">
        <v>319</v>
      </c>
      <c r="D48" s="119" t="s">
        <v>122</v>
      </c>
      <c r="E48" s="15" t="e">
        <f>#REF!</f>
        <v>#REF!</v>
      </c>
      <c r="F48" s="152">
        <v>38.74</v>
      </c>
      <c r="G48" s="150">
        <v>47.44</v>
      </c>
      <c r="H48" s="157" t="e">
        <f>E48*G48</f>
        <v>#REF!</v>
      </c>
      <c r="L48" s="143">
        <f t="shared" si="0"/>
        <v>47.444877999999996</v>
      </c>
    </row>
    <row r="49" spans="1:14" s="111" customFormat="1" ht="40.5">
      <c r="A49" s="115" t="s">
        <v>314</v>
      </c>
      <c r="B49" s="118" t="s">
        <v>320</v>
      </c>
      <c r="C49" s="114" t="s">
        <v>321</v>
      </c>
      <c r="D49" s="119" t="s">
        <v>122</v>
      </c>
      <c r="E49" s="15">
        <v>24.76</v>
      </c>
      <c r="F49" s="153">
        <v>73.79</v>
      </c>
      <c r="G49" s="150">
        <v>90.37</v>
      </c>
      <c r="H49" s="157">
        <f>E49*G49</f>
        <v>2237.5612</v>
      </c>
      <c r="L49" s="143">
        <f t="shared" si="0"/>
        <v>90.370613</v>
      </c>
      <c r="N49" s="151">
        <f>E49+F49-G49</f>
        <v>8.180000000000007</v>
      </c>
    </row>
    <row r="50" spans="1:12" s="134" customFormat="1" ht="16.5" customHeight="1">
      <c r="A50" s="129">
        <v>8</v>
      </c>
      <c r="B50" s="135"/>
      <c r="C50" s="136" t="s">
        <v>488</v>
      </c>
      <c r="D50" s="137"/>
      <c r="E50" s="138"/>
      <c r="F50" s="138"/>
      <c r="G50" s="138"/>
      <c r="H50" s="156" t="e">
        <f>H51+H56</f>
        <v>#REF!</v>
      </c>
      <c r="L50" s="143">
        <f t="shared" si="0"/>
        <v>0</v>
      </c>
    </row>
    <row r="51" spans="1:12" s="134" customFormat="1" ht="16.5" customHeight="1">
      <c r="A51" s="129" t="s">
        <v>323</v>
      </c>
      <c r="B51" s="135"/>
      <c r="C51" s="136" t="s">
        <v>324</v>
      </c>
      <c r="D51" s="137"/>
      <c r="E51" s="138"/>
      <c r="F51" s="138"/>
      <c r="G51" s="138"/>
      <c r="H51" s="156" t="e">
        <f>SUM(H52:H55)</f>
        <v>#REF!</v>
      </c>
      <c r="L51" s="143">
        <f t="shared" si="0"/>
        <v>0</v>
      </c>
    </row>
    <row r="52" spans="1:14" s="111" customFormat="1" ht="23.25" customHeight="1">
      <c r="A52" s="115" t="s">
        <v>513</v>
      </c>
      <c r="B52" s="118" t="s">
        <v>327</v>
      </c>
      <c r="C52" s="114" t="s">
        <v>328</v>
      </c>
      <c r="D52" s="119" t="s">
        <v>122</v>
      </c>
      <c r="E52" s="145">
        <v>424.67</v>
      </c>
      <c r="F52" s="127">
        <v>36.33</v>
      </c>
      <c r="G52" s="150">
        <v>44.49</v>
      </c>
      <c r="H52" s="155">
        <f>E52*G52</f>
        <v>18893.568300000003</v>
      </c>
      <c r="L52" s="143">
        <f t="shared" si="0"/>
        <v>44.493351</v>
      </c>
      <c r="N52" s="111">
        <f>742.58-317.91+58.45</f>
        <v>483.12</v>
      </c>
    </row>
    <row r="53" spans="1:12" s="111" customFormat="1" ht="34.5" customHeight="1">
      <c r="A53" s="115" t="s">
        <v>514</v>
      </c>
      <c r="B53" s="118" t="s">
        <v>329</v>
      </c>
      <c r="C53" s="114" t="s">
        <v>330</v>
      </c>
      <c r="D53" s="119" t="s">
        <v>122</v>
      </c>
      <c r="E53" s="145" t="e">
        <f>#REF!</f>
        <v>#REF!</v>
      </c>
      <c r="F53" s="127">
        <v>92.75</v>
      </c>
      <c r="G53" s="150">
        <v>113.59</v>
      </c>
      <c r="H53" s="155" t="e">
        <f>E53*G53</f>
        <v>#REF!</v>
      </c>
      <c r="L53" s="143">
        <f t="shared" si="0"/>
        <v>113.59092499999998</v>
      </c>
    </row>
    <row r="54" spans="1:12" s="111" customFormat="1" ht="13.5" customHeight="1">
      <c r="A54" s="115" t="s">
        <v>515</v>
      </c>
      <c r="B54" s="118" t="s">
        <v>331</v>
      </c>
      <c r="C54" s="114" t="s">
        <v>332</v>
      </c>
      <c r="D54" s="119" t="s">
        <v>23</v>
      </c>
      <c r="E54" s="145" t="e">
        <f>#REF!</f>
        <v>#REF!</v>
      </c>
      <c r="F54" s="150">
        <v>22.93</v>
      </c>
      <c r="G54" s="127">
        <v>28.08</v>
      </c>
      <c r="H54" s="155" t="e">
        <f>E54*G54</f>
        <v>#REF!</v>
      </c>
      <c r="L54" s="143">
        <f t="shared" si="0"/>
        <v>28.082371</v>
      </c>
    </row>
    <row r="55" spans="1:12" s="111" customFormat="1" ht="30">
      <c r="A55" s="115" t="s">
        <v>516</v>
      </c>
      <c r="B55" s="118" t="s">
        <v>550</v>
      </c>
      <c r="C55" s="114" t="s">
        <v>551</v>
      </c>
      <c r="D55" s="119" t="s">
        <v>122</v>
      </c>
      <c r="E55" s="145" t="e">
        <f>#REF!</f>
        <v>#REF!</v>
      </c>
      <c r="F55" s="127">
        <v>144.42</v>
      </c>
      <c r="G55" s="127">
        <v>176.87</v>
      </c>
      <c r="H55" s="155" t="e">
        <f>E55*G55</f>
        <v>#REF!</v>
      </c>
      <c r="L55" s="143">
        <f t="shared" si="0"/>
        <v>176.87117399999997</v>
      </c>
    </row>
    <row r="56" spans="1:12" s="134" customFormat="1" ht="16.5" customHeight="1">
      <c r="A56" s="129" t="s">
        <v>322</v>
      </c>
      <c r="B56" s="135"/>
      <c r="C56" s="136" t="s">
        <v>334</v>
      </c>
      <c r="D56" s="137"/>
      <c r="E56" s="138"/>
      <c r="F56" s="138"/>
      <c r="G56" s="138"/>
      <c r="H56" s="156" t="e">
        <f>SUM(H57:H60)</f>
        <v>#REF!</v>
      </c>
      <c r="L56" s="143">
        <f t="shared" si="0"/>
        <v>0</v>
      </c>
    </row>
    <row r="57" spans="1:12" s="111" customFormat="1" ht="33.75" customHeight="1">
      <c r="A57" s="115" t="s">
        <v>517</v>
      </c>
      <c r="B57" s="118" t="s">
        <v>326</v>
      </c>
      <c r="C57" s="114" t="s">
        <v>341</v>
      </c>
      <c r="D57" s="119" t="s">
        <v>122</v>
      </c>
      <c r="E57" s="15" t="e">
        <f>#REF!</f>
        <v>#REF!</v>
      </c>
      <c r="F57" s="127">
        <v>30.93</v>
      </c>
      <c r="G57" s="150">
        <v>37.88</v>
      </c>
      <c r="H57" s="157" t="e">
        <f>E57*G57</f>
        <v>#REF!</v>
      </c>
      <c r="L57" s="143">
        <f t="shared" si="0"/>
        <v>37.879971</v>
      </c>
    </row>
    <row r="58" spans="1:12" s="111" customFormat="1" ht="23.25" customHeight="1">
      <c r="A58" s="115" t="s">
        <v>518</v>
      </c>
      <c r="B58" s="118" t="s">
        <v>327</v>
      </c>
      <c r="C58" s="114" t="s">
        <v>328</v>
      </c>
      <c r="D58" s="119" t="s">
        <v>122</v>
      </c>
      <c r="E58" s="15" t="e">
        <f>#REF!</f>
        <v>#REF!</v>
      </c>
      <c r="F58" s="127">
        <v>36.33</v>
      </c>
      <c r="G58" s="150">
        <v>44.49</v>
      </c>
      <c r="H58" s="157" t="e">
        <f>E58*G58</f>
        <v>#REF!</v>
      </c>
      <c r="L58" s="143">
        <f t="shared" si="0"/>
        <v>44.493351</v>
      </c>
    </row>
    <row r="59" spans="1:12" s="111" customFormat="1" ht="36" customHeight="1">
      <c r="A59" s="115" t="s">
        <v>519</v>
      </c>
      <c r="B59" s="118" t="s">
        <v>342</v>
      </c>
      <c r="C59" s="114" t="s">
        <v>343</v>
      </c>
      <c r="D59" s="119" t="s">
        <v>122</v>
      </c>
      <c r="E59" s="15">
        <v>139.97</v>
      </c>
      <c r="F59" s="127">
        <v>66.01</v>
      </c>
      <c r="G59" s="127">
        <v>80.84</v>
      </c>
      <c r="H59" s="157">
        <f>E59*G59</f>
        <v>11315.1748</v>
      </c>
      <c r="L59" s="143">
        <f t="shared" si="0"/>
        <v>80.84244699999999</v>
      </c>
    </row>
    <row r="60" spans="1:12" s="111" customFormat="1" ht="13.5" customHeight="1">
      <c r="A60" s="115" t="s">
        <v>520</v>
      </c>
      <c r="B60" s="118" t="s">
        <v>344</v>
      </c>
      <c r="C60" s="114" t="s">
        <v>345</v>
      </c>
      <c r="D60" s="119" t="s">
        <v>122</v>
      </c>
      <c r="E60" s="15">
        <v>125.77</v>
      </c>
      <c r="F60" s="127">
        <v>14.7</v>
      </c>
      <c r="G60" s="127">
        <v>18</v>
      </c>
      <c r="H60" s="157">
        <f>E60*G60</f>
        <v>2263.86</v>
      </c>
      <c r="L60" s="143">
        <f t="shared" si="0"/>
        <v>18.003089999999997</v>
      </c>
    </row>
    <row r="61" spans="1:12" s="134" customFormat="1" ht="16.5" customHeight="1">
      <c r="A61" s="129">
        <v>9</v>
      </c>
      <c r="B61" s="135"/>
      <c r="C61" s="136" t="s">
        <v>346</v>
      </c>
      <c r="D61" s="137"/>
      <c r="E61" s="138"/>
      <c r="F61" s="138"/>
      <c r="G61" s="138"/>
      <c r="H61" s="156" t="e">
        <f>SUM(H62:H69)</f>
        <v>#REF!</v>
      </c>
      <c r="L61" s="143">
        <f t="shared" si="0"/>
        <v>0</v>
      </c>
    </row>
    <row r="62" spans="1:12" s="111" customFormat="1" ht="22.5" customHeight="1">
      <c r="A62" s="115" t="s">
        <v>325</v>
      </c>
      <c r="B62" s="118" t="s">
        <v>354</v>
      </c>
      <c r="C62" s="114" t="s">
        <v>355</v>
      </c>
      <c r="D62" s="119" t="s">
        <v>122</v>
      </c>
      <c r="E62" s="15" t="e">
        <f>#REF!</f>
        <v>#REF!</v>
      </c>
      <c r="F62" s="153">
        <v>22.06</v>
      </c>
      <c r="G62" s="127">
        <v>27.02</v>
      </c>
      <c r="H62" s="155" t="e">
        <f>E62*G62</f>
        <v>#REF!</v>
      </c>
      <c r="L62" s="143">
        <f t="shared" si="0"/>
        <v>27.016881999999995</v>
      </c>
    </row>
    <row r="63" spans="1:12" s="111" customFormat="1" ht="21.75" customHeight="1">
      <c r="A63" s="115" t="s">
        <v>333</v>
      </c>
      <c r="B63" s="118" t="s">
        <v>349</v>
      </c>
      <c r="C63" s="114" t="s">
        <v>350</v>
      </c>
      <c r="D63" s="119" t="s">
        <v>122</v>
      </c>
      <c r="E63" s="15" t="e">
        <f>#REF!</f>
        <v>#REF!</v>
      </c>
      <c r="F63" s="152">
        <v>11.55</v>
      </c>
      <c r="G63" s="127">
        <v>14.15</v>
      </c>
      <c r="H63" s="155" t="e">
        <f aca="true" t="shared" si="3" ref="H63:H69">E63*G63</f>
        <v>#REF!</v>
      </c>
      <c r="L63" s="143">
        <f t="shared" si="0"/>
        <v>14.145285</v>
      </c>
    </row>
    <row r="64" spans="1:12" s="111" customFormat="1" ht="20.25">
      <c r="A64" s="115" t="s">
        <v>521</v>
      </c>
      <c r="B64" s="118" t="s">
        <v>352</v>
      </c>
      <c r="C64" s="114" t="s">
        <v>353</v>
      </c>
      <c r="D64" s="119" t="s">
        <v>122</v>
      </c>
      <c r="E64" s="15" t="e">
        <f>#REF!</f>
        <v>#REF!</v>
      </c>
      <c r="F64" s="152">
        <v>14.98</v>
      </c>
      <c r="G64" s="127">
        <v>18.35</v>
      </c>
      <c r="H64" s="155" t="e">
        <f t="shared" si="3"/>
        <v>#REF!</v>
      </c>
      <c r="L64" s="143">
        <f t="shared" si="0"/>
        <v>18.346006</v>
      </c>
    </row>
    <row r="65" spans="1:12" s="111" customFormat="1" ht="30">
      <c r="A65" s="115" t="s">
        <v>522</v>
      </c>
      <c r="B65" s="118" t="s">
        <v>351</v>
      </c>
      <c r="C65" s="114" t="s">
        <v>552</v>
      </c>
      <c r="D65" s="119" t="s">
        <v>122</v>
      </c>
      <c r="E65" s="15" t="e">
        <f>#REF!</f>
        <v>#REF!</v>
      </c>
      <c r="F65" s="152">
        <v>3.57</v>
      </c>
      <c r="G65" s="150">
        <v>4.37</v>
      </c>
      <c r="H65" s="155" t="e">
        <f t="shared" si="3"/>
        <v>#REF!</v>
      </c>
      <c r="L65" s="143">
        <f t="shared" si="0"/>
        <v>4.372178999999999</v>
      </c>
    </row>
    <row r="66" spans="1:12" s="111" customFormat="1" ht="20.25">
      <c r="A66" s="115" t="s">
        <v>523</v>
      </c>
      <c r="B66" s="118" t="s">
        <v>553</v>
      </c>
      <c r="C66" s="114" t="s">
        <v>634</v>
      </c>
      <c r="D66" s="119" t="s">
        <v>122</v>
      </c>
      <c r="E66" s="15" t="e">
        <f>#REF!</f>
        <v>#REF!</v>
      </c>
      <c r="F66" s="153">
        <v>16.77</v>
      </c>
      <c r="G66" s="127">
        <v>20.54</v>
      </c>
      <c r="H66" s="155" t="e">
        <f t="shared" si="3"/>
        <v>#REF!</v>
      </c>
      <c r="L66" s="143">
        <f t="shared" si="0"/>
        <v>20.538218999999998</v>
      </c>
    </row>
    <row r="67" spans="1:12" s="111" customFormat="1" ht="20.25">
      <c r="A67" s="115" t="s">
        <v>524</v>
      </c>
      <c r="B67" s="118" t="s">
        <v>356</v>
      </c>
      <c r="C67" s="114" t="s">
        <v>357</v>
      </c>
      <c r="D67" s="119" t="s">
        <v>122</v>
      </c>
      <c r="E67" s="15" t="e">
        <f>#REF!</f>
        <v>#REF!</v>
      </c>
      <c r="F67" s="152">
        <v>15.14</v>
      </c>
      <c r="G67" s="127">
        <v>18.54</v>
      </c>
      <c r="H67" s="155" t="e">
        <f t="shared" si="3"/>
        <v>#REF!</v>
      </c>
      <c r="L67" s="143">
        <f t="shared" si="0"/>
        <v>18.541957999999997</v>
      </c>
    </row>
    <row r="68" spans="1:12" s="111" customFormat="1" ht="20.25">
      <c r="A68" s="115" t="s">
        <v>525</v>
      </c>
      <c r="B68" s="118" t="s">
        <v>358</v>
      </c>
      <c r="C68" s="114" t="s">
        <v>359</v>
      </c>
      <c r="D68" s="119" t="s">
        <v>122</v>
      </c>
      <c r="E68" s="15" t="e">
        <f>#REF!</f>
        <v>#REF!</v>
      </c>
      <c r="F68" s="153">
        <v>36.7</v>
      </c>
      <c r="G68" s="127">
        <v>44.95</v>
      </c>
      <c r="H68" s="155" t="e">
        <f t="shared" si="3"/>
        <v>#REF!</v>
      </c>
      <c r="L68" s="143">
        <f t="shared" si="0"/>
        <v>44.94649</v>
      </c>
    </row>
    <row r="69" spans="1:12" s="111" customFormat="1" ht="24.75" customHeight="1">
      <c r="A69" s="115" t="s">
        <v>526</v>
      </c>
      <c r="B69" s="118" t="s">
        <v>360</v>
      </c>
      <c r="C69" s="114" t="s">
        <v>361</v>
      </c>
      <c r="D69" s="119" t="s">
        <v>122</v>
      </c>
      <c r="E69" s="15" t="e">
        <f>#REF!</f>
        <v>#REF!</v>
      </c>
      <c r="F69" s="152">
        <v>52.63</v>
      </c>
      <c r="G69" s="127">
        <v>64.46</v>
      </c>
      <c r="H69" s="155" t="e">
        <f t="shared" si="3"/>
        <v>#REF!</v>
      </c>
      <c r="L69" s="143">
        <f aca="true" t="shared" si="4" ref="L69:L98">F69*1.2247</f>
        <v>64.455961</v>
      </c>
    </row>
    <row r="70" spans="1:12" s="134" customFormat="1" ht="16.5" customHeight="1">
      <c r="A70" s="129">
        <v>10</v>
      </c>
      <c r="B70" s="135"/>
      <c r="C70" s="136" t="s">
        <v>374</v>
      </c>
      <c r="D70" s="137"/>
      <c r="E70" s="138"/>
      <c r="F70" s="138"/>
      <c r="G70" s="139">
        <v>0</v>
      </c>
      <c r="H70" s="156" t="e">
        <f>SUM(H71:H93)</f>
        <v>#REF!</v>
      </c>
      <c r="L70" s="143">
        <f t="shared" si="4"/>
        <v>0</v>
      </c>
    </row>
    <row r="71" spans="1:12" s="111" customFormat="1" ht="24.75" customHeight="1">
      <c r="A71" s="115" t="s">
        <v>347</v>
      </c>
      <c r="B71" s="118" t="s">
        <v>362</v>
      </c>
      <c r="C71" s="114" t="s">
        <v>363</v>
      </c>
      <c r="D71" s="119" t="s">
        <v>286</v>
      </c>
      <c r="E71" s="15">
        <v>2</v>
      </c>
      <c r="F71" s="127">
        <v>480.65</v>
      </c>
      <c r="G71" s="127">
        <v>588.65</v>
      </c>
      <c r="H71" s="155">
        <f aca="true" t="shared" si="5" ref="H71:H91">E71*G71</f>
        <v>1177.3</v>
      </c>
      <c r="L71" s="143">
        <f t="shared" si="4"/>
        <v>588.6520549999999</v>
      </c>
    </row>
    <row r="72" spans="1:12" s="111" customFormat="1" ht="56.25" customHeight="1">
      <c r="A72" s="115" t="s">
        <v>348</v>
      </c>
      <c r="B72" s="32" t="s">
        <v>364</v>
      </c>
      <c r="C72" s="114" t="s">
        <v>365</v>
      </c>
      <c r="D72" s="119" t="s">
        <v>286</v>
      </c>
      <c r="E72" s="15">
        <v>10</v>
      </c>
      <c r="F72" s="128">
        <v>966.61</v>
      </c>
      <c r="G72" s="128">
        <v>1183.81</v>
      </c>
      <c r="H72" s="155">
        <f t="shared" si="5"/>
        <v>11838.099999999999</v>
      </c>
      <c r="L72" s="143">
        <f t="shared" si="4"/>
        <v>1183.807267</v>
      </c>
    </row>
    <row r="73" spans="1:12" s="111" customFormat="1" ht="57.75" customHeight="1">
      <c r="A73" s="115" t="s">
        <v>554</v>
      </c>
      <c r="B73" s="118" t="s">
        <v>366</v>
      </c>
      <c r="C73" s="114" t="s">
        <v>367</v>
      </c>
      <c r="D73" s="119" t="s">
        <v>286</v>
      </c>
      <c r="E73" s="15">
        <v>2</v>
      </c>
      <c r="F73" s="127">
        <v>754.86</v>
      </c>
      <c r="G73" s="127">
        <v>924.48</v>
      </c>
      <c r="H73" s="155">
        <f t="shared" si="5"/>
        <v>1848.96</v>
      </c>
      <c r="L73" s="143">
        <f t="shared" si="4"/>
        <v>924.477042</v>
      </c>
    </row>
    <row r="74" spans="1:12" s="111" customFormat="1" ht="20.25">
      <c r="A74" s="115" t="s">
        <v>555</v>
      </c>
      <c r="B74" s="118" t="s">
        <v>370</v>
      </c>
      <c r="C74" s="114" t="s">
        <v>371</v>
      </c>
      <c r="D74" s="119" t="s">
        <v>286</v>
      </c>
      <c r="E74" s="15">
        <v>10</v>
      </c>
      <c r="F74" s="128">
        <v>143.41</v>
      </c>
      <c r="G74" s="128">
        <v>175.63</v>
      </c>
      <c r="H74" s="155">
        <f t="shared" si="5"/>
        <v>1756.3</v>
      </c>
      <c r="L74" s="143">
        <f t="shared" si="4"/>
        <v>175.63422699999998</v>
      </c>
    </row>
    <row r="75" spans="1:12" s="111" customFormat="1" ht="60.75">
      <c r="A75" s="115" t="s">
        <v>556</v>
      </c>
      <c r="B75" s="118" t="s">
        <v>373</v>
      </c>
      <c r="C75" s="114" t="s">
        <v>372</v>
      </c>
      <c r="D75" s="119" t="s">
        <v>286</v>
      </c>
      <c r="E75" s="15">
        <v>2</v>
      </c>
      <c r="F75" s="127">
        <v>461.56</v>
      </c>
      <c r="G75" s="127">
        <v>565.27</v>
      </c>
      <c r="H75" s="155">
        <f t="shared" si="5"/>
        <v>1130.54</v>
      </c>
      <c r="L75" s="143">
        <f t="shared" si="4"/>
        <v>565.272532</v>
      </c>
    </row>
    <row r="76" spans="1:12" s="111" customFormat="1" ht="51">
      <c r="A76" s="115" t="s">
        <v>557</v>
      </c>
      <c r="B76" s="32" t="s">
        <v>375</v>
      </c>
      <c r="C76" s="114" t="s">
        <v>376</v>
      </c>
      <c r="D76" s="119" t="s">
        <v>286</v>
      </c>
      <c r="E76" s="15">
        <v>2</v>
      </c>
      <c r="F76" s="128">
        <v>955.02</v>
      </c>
      <c r="G76" s="128">
        <v>1169.61</v>
      </c>
      <c r="H76" s="155">
        <f t="shared" si="5"/>
        <v>2339.22</v>
      </c>
      <c r="L76" s="143">
        <f t="shared" si="4"/>
        <v>1169.6129939999998</v>
      </c>
    </row>
    <row r="77" spans="1:12" s="111" customFormat="1" ht="24.75" customHeight="1">
      <c r="A77" s="115" t="s">
        <v>558</v>
      </c>
      <c r="B77" s="118" t="s">
        <v>377</v>
      </c>
      <c r="C77" s="114" t="s">
        <v>378</v>
      </c>
      <c r="D77" s="119" t="s">
        <v>286</v>
      </c>
      <c r="E77" s="15">
        <v>3</v>
      </c>
      <c r="F77" s="127">
        <v>221.18</v>
      </c>
      <c r="G77" s="127">
        <v>270.88</v>
      </c>
      <c r="H77" s="155">
        <f t="shared" si="5"/>
        <v>812.64</v>
      </c>
      <c r="L77" s="143">
        <f t="shared" si="4"/>
        <v>270.879146</v>
      </c>
    </row>
    <row r="78" spans="1:12" s="111" customFormat="1" ht="57.75" customHeight="1">
      <c r="A78" s="115" t="s">
        <v>559</v>
      </c>
      <c r="B78" s="118" t="s">
        <v>379</v>
      </c>
      <c r="C78" s="114" t="s">
        <v>380</v>
      </c>
      <c r="D78" s="119" t="s">
        <v>286</v>
      </c>
      <c r="E78" s="15">
        <v>1</v>
      </c>
      <c r="F78" s="127">
        <v>637.94</v>
      </c>
      <c r="G78" s="127">
        <v>781.29</v>
      </c>
      <c r="H78" s="155">
        <f t="shared" si="5"/>
        <v>781.29</v>
      </c>
      <c r="L78" s="143">
        <f t="shared" si="4"/>
        <v>781.285118</v>
      </c>
    </row>
    <row r="79" spans="1:12" s="111" customFormat="1" ht="24" customHeight="1">
      <c r="A79" s="115" t="s">
        <v>560</v>
      </c>
      <c r="B79" s="118" t="s">
        <v>382</v>
      </c>
      <c r="C79" s="114" t="s">
        <v>383</v>
      </c>
      <c r="D79" s="119" t="s">
        <v>286</v>
      </c>
      <c r="E79" s="15">
        <v>7</v>
      </c>
      <c r="F79" s="127">
        <v>88.87</v>
      </c>
      <c r="G79" s="127">
        <v>108.84</v>
      </c>
      <c r="H79" s="155">
        <f t="shared" si="5"/>
        <v>761.88</v>
      </c>
      <c r="L79" s="143">
        <f t="shared" si="4"/>
        <v>108.839089</v>
      </c>
    </row>
    <row r="80" spans="1:12" s="111" customFormat="1" ht="35.25" customHeight="1">
      <c r="A80" s="115" t="s">
        <v>561</v>
      </c>
      <c r="B80" s="118" t="s">
        <v>384</v>
      </c>
      <c r="C80" s="114" t="s">
        <v>385</v>
      </c>
      <c r="D80" s="119" t="s">
        <v>286</v>
      </c>
      <c r="E80" s="15">
        <v>2</v>
      </c>
      <c r="F80" s="127">
        <v>47.88</v>
      </c>
      <c r="G80" s="127">
        <v>58.64</v>
      </c>
      <c r="H80" s="155">
        <f t="shared" si="5"/>
        <v>117.28</v>
      </c>
      <c r="L80" s="143">
        <f t="shared" si="4"/>
        <v>58.638636</v>
      </c>
    </row>
    <row r="81" spans="1:12" s="111" customFormat="1" ht="40.5">
      <c r="A81" s="115" t="s">
        <v>562</v>
      </c>
      <c r="B81" s="118" t="s">
        <v>388</v>
      </c>
      <c r="C81" s="114" t="s">
        <v>389</v>
      </c>
      <c r="D81" s="119" t="s">
        <v>286</v>
      </c>
      <c r="E81" s="15">
        <v>8</v>
      </c>
      <c r="F81" s="127">
        <v>349.2</v>
      </c>
      <c r="G81" s="127">
        <v>427.67</v>
      </c>
      <c r="H81" s="155">
        <f t="shared" si="5"/>
        <v>3421.36</v>
      </c>
      <c r="L81" s="143">
        <f t="shared" si="4"/>
        <v>427.6652399999999</v>
      </c>
    </row>
    <row r="82" spans="1:12" s="111" customFormat="1" ht="20.25">
      <c r="A82" s="115" t="s">
        <v>563</v>
      </c>
      <c r="B82" s="118" t="s">
        <v>386</v>
      </c>
      <c r="C82" s="114" t="s">
        <v>387</v>
      </c>
      <c r="D82" s="119" t="s">
        <v>286</v>
      </c>
      <c r="E82" s="15">
        <v>4</v>
      </c>
      <c r="F82" s="127">
        <v>71.37</v>
      </c>
      <c r="G82" s="127">
        <v>87.41</v>
      </c>
      <c r="H82" s="155">
        <f t="shared" si="5"/>
        <v>349.64</v>
      </c>
      <c r="L82" s="143">
        <f t="shared" si="4"/>
        <v>87.406839</v>
      </c>
    </row>
    <row r="83" spans="1:12" s="111" customFormat="1" ht="30">
      <c r="A83" s="115" t="s">
        <v>564</v>
      </c>
      <c r="B83" s="118" t="s">
        <v>390</v>
      </c>
      <c r="C83" s="114" t="s">
        <v>391</v>
      </c>
      <c r="D83" s="119" t="s">
        <v>286</v>
      </c>
      <c r="E83" s="15">
        <v>5</v>
      </c>
      <c r="F83" s="127">
        <v>100.89</v>
      </c>
      <c r="G83" s="127">
        <v>123.56</v>
      </c>
      <c r="H83" s="155">
        <f t="shared" si="5"/>
        <v>617.8</v>
      </c>
      <c r="L83" s="143">
        <f t="shared" si="4"/>
        <v>123.55998299999999</v>
      </c>
    </row>
    <row r="84" spans="1:12" s="111" customFormat="1" ht="30">
      <c r="A84" s="115" t="s">
        <v>565</v>
      </c>
      <c r="B84" s="118" t="s">
        <v>392</v>
      </c>
      <c r="C84" s="114" t="s">
        <v>393</v>
      </c>
      <c r="D84" s="119" t="s">
        <v>286</v>
      </c>
      <c r="E84" s="15">
        <v>3</v>
      </c>
      <c r="F84" s="127">
        <v>82.71</v>
      </c>
      <c r="G84" s="127">
        <v>101.29</v>
      </c>
      <c r="H84" s="155">
        <f t="shared" si="5"/>
        <v>303.87</v>
      </c>
      <c r="L84" s="143">
        <f t="shared" si="4"/>
        <v>101.29493699999999</v>
      </c>
    </row>
    <row r="85" spans="1:12" s="111" customFormat="1" ht="20.25">
      <c r="A85" s="115" t="s">
        <v>566</v>
      </c>
      <c r="B85" s="118" t="s">
        <v>394</v>
      </c>
      <c r="C85" s="114" t="s">
        <v>395</v>
      </c>
      <c r="D85" s="119" t="s">
        <v>286</v>
      </c>
      <c r="E85" s="15">
        <v>2</v>
      </c>
      <c r="F85" s="127">
        <v>366.3</v>
      </c>
      <c r="G85" s="127">
        <v>448.61</v>
      </c>
      <c r="H85" s="155">
        <f t="shared" si="5"/>
        <v>897.22</v>
      </c>
      <c r="L85" s="143">
        <f t="shared" si="4"/>
        <v>448.60760999999997</v>
      </c>
    </row>
    <row r="86" spans="1:12" s="111" customFormat="1" ht="20.25">
      <c r="A86" s="115" t="s">
        <v>567</v>
      </c>
      <c r="B86" s="118" t="s">
        <v>396</v>
      </c>
      <c r="C86" s="114" t="s">
        <v>397</v>
      </c>
      <c r="D86" s="119" t="s">
        <v>286</v>
      </c>
      <c r="E86" s="15">
        <v>4</v>
      </c>
      <c r="F86" s="127">
        <v>382.53</v>
      </c>
      <c r="G86" s="127">
        <v>468.48</v>
      </c>
      <c r="H86" s="155">
        <f t="shared" si="5"/>
        <v>1873.92</v>
      </c>
      <c r="L86" s="143">
        <f t="shared" si="4"/>
        <v>468.48449099999993</v>
      </c>
    </row>
    <row r="87" spans="1:12" s="111" customFormat="1" ht="22.5" customHeight="1">
      <c r="A87" s="115" t="s">
        <v>568</v>
      </c>
      <c r="B87" s="118" t="s">
        <v>398</v>
      </c>
      <c r="C87" s="114" t="s">
        <v>399</v>
      </c>
      <c r="D87" s="119" t="s">
        <v>286</v>
      </c>
      <c r="E87" s="15">
        <v>2</v>
      </c>
      <c r="F87" s="127">
        <v>353.32</v>
      </c>
      <c r="G87" s="127">
        <v>432.71</v>
      </c>
      <c r="H87" s="155">
        <f t="shared" si="5"/>
        <v>865.42</v>
      </c>
      <c r="L87" s="143">
        <f t="shared" si="4"/>
        <v>432.71100399999995</v>
      </c>
    </row>
    <row r="88" spans="1:12" s="111" customFormat="1" ht="48" customHeight="1">
      <c r="A88" s="115" t="s">
        <v>569</v>
      </c>
      <c r="B88" s="118" t="s">
        <v>400</v>
      </c>
      <c r="C88" s="114" t="s">
        <v>401</v>
      </c>
      <c r="D88" s="119" t="s">
        <v>286</v>
      </c>
      <c r="E88" s="15">
        <v>4</v>
      </c>
      <c r="F88" s="127">
        <v>137.08</v>
      </c>
      <c r="G88" s="127">
        <v>167.88</v>
      </c>
      <c r="H88" s="155">
        <f t="shared" si="5"/>
        <v>671.52</v>
      </c>
      <c r="L88" s="143">
        <f t="shared" si="4"/>
        <v>167.881876</v>
      </c>
    </row>
    <row r="89" spans="1:12" s="111" customFormat="1" ht="40.5">
      <c r="A89" s="115" t="s">
        <v>570</v>
      </c>
      <c r="B89" s="118" t="s">
        <v>417</v>
      </c>
      <c r="C89" s="114" t="s">
        <v>420</v>
      </c>
      <c r="D89" s="119" t="s">
        <v>286</v>
      </c>
      <c r="E89" s="15">
        <v>2</v>
      </c>
      <c r="F89" s="127">
        <v>236.08</v>
      </c>
      <c r="G89" s="127">
        <v>289.13</v>
      </c>
      <c r="H89" s="155">
        <f t="shared" si="5"/>
        <v>578.26</v>
      </c>
      <c r="L89" s="143">
        <f t="shared" si="4"/>
        <v>289.127176</v>
      </c>
    </row>
    <row r="90" spans="1:12" s="111" customFormat="1" ht="34.5" customHeight="1">
      <c r="A90" s="115" t="s">
        <v>571</v>
      </c>
      <c r="B90" s="118" t="s">
        <v>418</v>
      </c>
      <c r="C90" s="114" t="s">
        <v>419</v>
      </c>
      <c r="D90" s="119" t="s">
        <v>286</v>
      </c>
      <c r="E90" s="15">
        <v>1</v>
      </c>
      <c r="F90" s="127">
        <v>340.88</v>
      </c>
      <c r="G90" s="127">
        <v>417.48</v>
      </c>
      <c r="H90" s="155">
        <f t="shared" si="5"/>
        <v>417.48</v>
      </c>
      <c r="L90" s="143">
        <f t="shared" si="4"/>
        <v>417.475736</v>
      </c>
    </row>
    <row r="91" spans="1:12" s="111" customFormat="1" ht="22.5" customHeight="1">
      <c r="A91" s="115" t="s">
        <v>572</v>
      </c>
      <c r="B91" s="118" t="s">
        <v>402</v>
      </c>
      <c r="C91" s="114" t="s">
        <v>403</v>
      </c>
      <c r="D91" s="119" t="s">
        <v>122</v>
      </c>
      <c r="E91" s="15" t="e">
        <f>#REF!</f>
        <v>#REF!</v>
      </c>
      <c r="F91" s="153">
        <v>268.04</v>
      </c>
      <c r="G91" s="127">
        <v>328.27</v>
      </c>
      <c r="H91" s="155" t="e">
        <f t="shared" si="5"/>
        <v>#REF!</v>
      </c>
      <c r="L91" s="143">
        <f t="shared" si="4"/>
        <v>328.268588</v>
      </c>
    </row>
    <row r="92" spans="1:12" s="111" customFormat="1" ht="20.25">
      <c r="A92" s="115" t="s">
        <v>573</v>
      </c>
      <c r="B92" s="118" t="s">
        <v>404</v>
      </c>
      <c r="C92" s="114" t="s">
        <v>575</v>
      </c>
      <c r="D92" s="119" t="s">
        <v>286</v>
      </c>
      <c r="E92" s="15">
        <v>15</v>
      </c>
      <c r="F92" s="127">
        <v>112.67</v>
      </c>
      <c r="G92" s="127">
        <v>137.99</v>
      </c>
      <c r="H92" s="155">
        <f>E92*G92</f>
        <v>2069.8500000000004</v>
      </c>
      <c r="L92" s="143">
        <f t="shared" si="4"/>
        <v>137.98694899999998</v>
      </c>
    </row>
    <row r="93" spans="1:12" s="111" customFormat="1" ht="20.25">
      <c r="A93" s="115" t="s">
        <v>574</v>
      </c>
      <c r="B93" s="123" t="s">
        <v>381</v>
      </c>
      <c r="C93" s="124" t="s">
        <v>499</v>
      </c>
      <c r="D93" s="119" t="s">
        <v>286</v>
      </c>
      <c r="E93" s="108">
        <v>1</v>
      </c>
      <c r="F93" s="141">
        <v>504.98</v>
      </c>
      <c r="G93" s="141">
        <v>618.45</v>
      </c>
      <c r="H93" s="155">
        <f>E93*G93</f>
        <v>618.45</v>
      </c>
      <c r="L93" s="143">
        <f t="shared" si="4"/>
        <v>618.4490059999999</v>
      </c>
    </row>
    <row r="94" spans="1:12" s="134" customFormat="1" ht="16.5" customHeight="1">
      <c r="A94" s="129">
        <v>11</v>
      </c>
      <c r="B94" s="135"/>
      <c r="C94" s="136" t="s">
        <v>73</v>
      </c>
      <c r="D94" s="137"/>
      <c r="E94" s="138"/>
      <c r="F94" s="138"/>
      <c r="G94" s="140"/>
      <c r="H94" s="156">
        <f>H95+H102+H104+H111+H118+H124+H126+H131+H135</f>
        <v>75327.46540000002</v>
      </c>
      <c r="L94" s="143">
        <f t="shared" si="4"/>
        <v>0</v>
      </c>
    </row>
    <row r="95" spans="1:12" s="134" customFormat="1" ht="16.5" customHeight="1">
      <c r="A95" s="129" t="s">
        <v>500</v>
      </c>
      <c r="B95" s="135"/>
      <c r="C95" s="136" t="s">
        <v>421</v>
      </c>
      <c r="D95" s="137"/>
      <c r="E95" s="138"/>
      <c r="F95" s="138"/>
      <c r="G95" s="140"/>
      <c r="H95" s="156">
        <f>SUM(H96:H101)</f>
        <v>74.97999999999999</v>
      </c>
      <c r="L95" s="143">
        <f t="shared" si="4"/>
        <v>0</v>
      </c>
    </row>
    <row r="96" spans="1:12" s="111" customFormat="1" ht="12.75">
      <c r="A96" s="115" t="s">
        <v>577</v>
      </c>
      <c r="B96" s="118" t="s">
        <v>405</v>
      </c>
      <c r="C96" s="114" t="s">
        <v>406</v>
      </c>
      <c r="D96" s="119" t="s">
        <v>286</v>
      </c>
      <c r="E96" s="15">
        <v>2</v>
      </c>
      <c r="F96" s="127">
        <v>1.08</v>
      </c>
      <c r="G96" s="127">
        <v>1.32</v>
      </c>
      <c r="H96" s="155">
        <f aca="true" t="shared" si="6" ref="H96:H101">E96*G96</f>
        <v>2.64</v>
      </c>
      <c r="L96" s="143">
        <f t="shared" si="4"/>
        <v>1.322676</v>
      </c>
    </row>
    <row r="97" spans="1:12" s="111" customFormat="1" ht="12.75">
      <c r="A97" s="115" t="s">
        <v>578</v>
      </c>
      <c r="B97" s="118" t="s">
        <v>407</v>
      </c>
      <c r="C97" s="114" t="s">
        <v>408</v>
      </c>
      <c r="D97" s="119" t="s">
        <v>286</v>
      </c>
      <c r="E97" s="15">
        <v>1</v>
      </c>
      <c r="F97" s="127">
        <v>1.08</v>
      </c>
      <c r="G97" s="127">
        <v>1.32</v>
      </c>
      <c r="H97" s="155">
        <f t="shared" si="6"/>
        <v>1.32</v>
      </c>
      <c r="L97" s="143">
        <f t="shared" si="4"/>
        <v>1.322676</v>
      </c>
    </row>
    <row r="98" spans="1:12" s="111" customFormat="1" ht="15.75" customHeight="1">
      <c r="A98" s="115" t="s">
        <v>579</v>
      </c>
      <c r="B98" s="118" t="s">
        <v>409</v>
      </c>
      <c r="C98" s="114" t="s">
        <v>410</v>
      </c>
      <c r="D98" s="119" t="s">
        <v>286</v>
      </c>
      <c r="E98" s="15">
        <v>2</v>
      </c>
      <c r="F98" s="127">
        <v>1.45</v>
      </c>
      <c r="G98" s="127">
        <v>1.78</v>
      </c>
      <c r="H98" s="155">
        <f t="shared" si="6"/>
        <v>3.56</v>
      </c>
      <c r="L98" s="143">
        <f t="shared" si="4"/>
        <v>1.7758149999999997</v>
      </c>
    </row>
    <row r="99" spans="1:12" s="111" customFormat="1" ht="12.75">
      <c r="A99" s="115" t="s">
        <v>580</v>
      </c>
      <c r="B99" s="118" t="s">
        <v>411</v>
      </c>
      <c r="C99" s="114" t="s">
        <v>412</v>
      </c>
      <c r="D99" s="119" t="s">
        <v>286</v>
      </c>
      <c r="E99" s="15">
        <v>1</v>
      </c>
      <c r="F99" s="128">
        <v>1.35</v>
      </c>
      <c r="G99" s="128">
        <v>1.65</v>
      </c>
      <c r="H99" s="155">
        <f t="shared" si="6"/>
        <v>1.65</v>
      </c>
      <c r="L99" s="143">
        <f aca="true" t="shared" si="7" ref="L99:L146">F99*1.2247</f>
        <v>1.653345</v>
      </c>
    </row>
    <row r="100" spans="1:12" s="111" customFormat="1" ht="23.25" customHeight="1">
      <c r="A100" s="115" t="s">
        <v>581</v>
      </c>
      <c r="B100" s="118" t="s">
        <v>413</v>
      </c>
      <c r="C100" s="114" t="s">
        <v>414</v>
      </c>
      <c r="D100" s="119" t="s">
        <v>286</v>
      </c>
      <c r="E100" s="15">
        <v>1</v>
      </c>
      <c r="F100" s="127">
        <v>3.77</v>
      </c>
      <c r="G100" s="127">
        <v>4.62</v>
      </c>
      <c r="H100" s="155">
        <f t="shared" si="6"/>
        <v>4.62</v>
      </c>
      <c r="L100" s="143">
        <f t="shared" si="7"/>
        <v>4.617119</v>
      </c>
    </row>
    <row r="101" spans="1:12" s="111" customFormat="1" ht="23.25" customHeight="1">
      <c r="A101" s="115" t="s">
        <v>582</v>
      </c>
      <c r="B101" s="123" t="s">
        <v>460</v>
      </c>
      <c r="C101" s="124" t="s">
        <v>461</v>
      </c>
      <c r="D101" s="119" t="s">
        <v>286</v>
      </c>
      <c r="E101" s="108">
        <v>1</v>
      </c>
      <c r="F101" s="141">
        <v>49.96</v>
      </c>
      <c r="G101" s="141">
        <v>61.19</v>
      </c>
      <c r="H101" s="155">
        <f t="shared" si="6"/>
        <v>61.19</v>
      </c>
      <c r="L101" s="143">
        <f t="shared" si="7"/>
        <v>61.186012</v>
      </c>
    </row>
    <row r="102" spans="1:12" s="134" customFormat="1" ht="16.5" customHeight="1">
      <c r="A102" s="129" t="s">
        <v>502</v>
      </c>
      <c r="B102" s="135"/>
      <c r="C102" s="136" t="s">
        <v>422</v>
      </c>
      <c r="D102" s="137"/>
      <c r="E102" s="138"/>
      <c r="F102" s="138"/>
      <c r="G102" s="138"/>
      <c r="H102" s="156">
        <f>H103</f>
        <v>31.8</v>
      </c>
      <c r="L102" s="143">
        <f t="shared" si="7"/>
        <v>0</v>
      </c>
    </row>
    <row r="103" spans="1:12" s="111" customFormat="1" ht="24" customHeight="1">
      <c r="A103" s="115" t="s">
        <v>583</v>
      </c>
      <c r="B103" s="118" t="s">
        <v>415</v>
      </c>
      <c r="C103" s="114" t="s">
        <v>416</v>
      </c>
      <c r="D103" s="119" t="s">
        <v>23</v>
      </c>
      <c r="E103" s="15">
        <v>20</v>
      </c>
      <c r="F103" s="127">
        <v>1.3</v>
      </c>
      <c r="G103" s="127">
        <v>1.59</v>
      </c>
      <c r="H103" s="155">
        <f>E103*G103</f>
        <v>31.8</v>
      </c>
      <c r="L103" s="143">
        <f t="shared" si="7"/>
        <v>1.59211</v>
      </c>
    </row>
    <row r="104" spans="1:12" s="134" customFormat="1" ht="16.5" customHeight="1">
      <c r="A104" s="129" t="s">
        <v>584</v>
      </c>
      <c r="B104" s="135"/>
      <c r="C104" s="136" t="s">
        <v>423</v>
      </c>
      <c r="D104" s="137"/>
      <c r="E104" s="138"/>
      <c r="F104" s="138"/>
      <c r="G104" s="138"/>
      <c r="H104" s="156">
        <f>SUM(H105:H110)</f>
        <v>40110.08500000001</v>
      </c>
      <c r="L104" s="143">
        <f t="shared" si="7"/>
        <v>0</v>
      </c>
    </row>
    <row r="105" spans="1:12" s="111" customFormat="1" ht="36.75" customHeight="1">
      <c r="A105" s="115" t="s">
        <v>585</v>
      </c>
      <c r="B105" s="118" t="s">
        <v>462</v>
      </c>
      <c r="C105" s="114" t="s">
        <v>463</v>
      </c>
      <c r="D105" s="119" t="s">
        <v>23</v>
      </c>
      <c r="E105" s="15">
        <v>6.2</v>
      </c>
      <c r="F105" s="127">
        <v>20.33</v>
      </c>
      <c r="G105" s="127">
        <v>24.9</v>
      </c>
      <c r="H105" s="155">
        <f aca="true" t="shared" si="8" ref="H105:H110">E105*G105</f>
        <v>154.38</v>
      </c>
      <c r="L105" s="143">
        <f t="shared" si="7"/>
        <v>24.898150999999995</v>
      </c>
    </row>
    <row r="106" spans="1:12" s="111" customFormat="1" ht="36" customHeight="1">
      <c r="A106" s="115" t="s">
        <v>586</v>
      </c>
      <c r="B106" s="118" t="s">
        <v>464</v>
      </c>
      <c r="C106" s="114" t="s">
        <v>465</v>
      </c>
      <c r="D106" s="119" t="s">
        <v>23</v>
      </c>
      <c r="E106" s="15">
        <v>27.5</v>
      </c>
      <c r="F106" s="127">
        <v>28.86</v>
      </c>
      <c r="G106" s="127">
        <v>35.34</v>
      </c>
      <c r="H106" s="155">
        <f t="shared" si="8"/>
        <v>971.8500000000001</v>
      </c>
      <c r="L106" s="143">
        <f t="shared" si="7"/>
        <v>35.344842</v>
      </c>
    </row>
    <row r="107" spans="1:12" s="111" customFormat="1" ht="36" customHeight="1">
      <c r="A107" s="115" t="s">
        <v>587</v>
      </c>
      <c r="B107" s="118" t="s">
        <v>466</v>
      </c>
      <c r="C107" s="114" t="s">
        <v>467</v>
      </c>
      <c r="D107" s="119" t="s">
        <v>23</v>
      </c>
      <c r="E107" s="15">
        <v>11.8</v>
      </c>
      <c r="F107" s="127">
        <v>52.09</v>
      </c>
      <c r="G107" s="127">
        <v>63.79</v>
      </c>
      <c r="H107" s="155">
        <f t="shared" si="8"/>
        <v>752.722</v>
      </c>
      <c r="L107" s="143">
        <f t="shared" si="7"/>
        <v>63.794623</v>
      </c>
    </row>
    <row r="108" spans="1:12" s="111" customFormat="1" ht="36" customHeight="1">
      <c r="A108" s="115" t="s">
        <v>588</v>
      </c>
      <c r="B108" s="118" t="s">
        <v>472</v>
      </c>
      <c r="C108" s="114" t="s">
        <v>473</v>
      </c>
      <c r="D108" s="119" t="s">
        <v>23</v>
      </c>
      <c r="E108" s="15">
        <v>635.8</v>
      </c>
      <c r="F108" s="127">
        <v>21.85</v>
      </c>
      <c r="G108" s="127">
        <v>26.76</v>
      </c>
      <c r="H108" s="155">
        <f t="shared" si="8"/>
        <v>17014.007999999998</v>
      </c>
      <c r="L108" s="143">
        <f t="shared" si="7"/>
        <v>26.759695</v>
      </c>
    </row>
    <row r="109" spans="1:12" s="111" customFormat="1" ht="35.25" customHeight="1">
      <c r="A109" s="115" t="s">
        <v>589</v>
      </c>
      <c r="B109" s="118" t="s">
        <v>468</v>
      </c>
      <c r="C109" s="114" t="s">
        <v>469</v>
      </c>
      <c r="D109" s="119" t="s">
        <v>23</v>
      </c>
      <c r="E109" s="15">
        <v>2455.5</v>
      </c>
      <c r="F109" s="128">
        <v>5.84</v>
      </c>
      <c r="G109" s="128">
        <v>7.15</v>
      </c>
      <c r="H109" s="155">
        <f t="shared" si="8"/>
        <v>17556.825</v>
      </c>
      <c r="L109" s="143">
        <f t="shared" si="7"/>
        <v>7.152247999999999</v>
      </c>
    </row>
    <row r="110" spans="1:12" s="111" customFormat="1" ht="33.75" customHeight="1">
      <c r="A110" s="115" t="s">
        <v>590</v>
      </c>
      <c r="B110" s="118" t="s">
        <v>470</v>
      </c>
      <c r="C110" s="114" t="s">
        <v>471</v>
      </c>
      <c r="D110" s="119" t="s">
        <v>23</v>
      </c>
      <c r="E110" s="15">
        <v>367.5</v>
      </c>
      <c r="F110" s="127">
        <v>8.13</v>
      </c>
      <c r="G110" s="127">
        <v>9.96</v>
      </c>
      <c r="H110" s="155">
        <f t="shared" si="8"/>
        <v>3660.3</v>
      </c>
      <c r="L110" s="143">
        <f t="shared" si="7"/>
        <v>9.956811</v>
      </c>
    </row>
    <row r="111" spans="1:12" s="134" customFormat="1" ht="16.5" customHeight="1">
      <c r="A111" s="129" t="s">
        <v>591</v>
      </c>
      <c r="B111" s="135"/>
      <c r="C111" s="136" t="s">
        <v>424</v>
      </c>
      <c r="D111" s="137"/>
      <c r="E111" s="138"/>
      <c r="F111" s="138"/>
      <c r="G111" s="138"/>
      <c r="H111" s="156">
        <f>SUM(H112:H117)</f>
        <v>3794.54</v>
      </c>
      <c r="L111" s="143">
        <f t="shared" si="7"/>
        <v>0</v>
      </c>
    </row>
    <row r="112" spans="1:12" s="111" customFormat="1" ht="20.25">
      <c r="A112" s="115" t="s">
        <v>592</v>
      </c>
      <c r="B112" s="122" t="s">
        <v>474</v>
      </c>
      <c r="C112" s="117" t="s">
        <v>475</v>
      </c>
      <c r="D112" s="119" t="s">
        <v>286</v>
      </c>
      <c r="E112" s="108">
        <v>7</v>
      </c>
      <c r="F112" s="141">
        <v>10.8</v>
      </c>
      <c r="G112" s="141">
        <v>13.23</v>
      </c>
      <c r="H112" s="155">
        <f aca="true" t="shared" si="9" ref="H112:H117">E112*G112</f>
        <v>92.61</v>
      </c>
      <c r="L112" s="143">
        <f t="shared" si="7"/>
        <v>13.22676</v>
      </c>
    </row>
    <row r="113" spans="1:12" s="111" customFormat="1" ht="40.5">
      <c r="A113" s="115" t="s">
        <v>593</v>
      </c>
      <c r="B113" s="118" t="s">
        <v>425</v>
      </c>
      <c r="C113" s="114" t="s">
        <v>426</v>
      </c>
      <c r="D113" s="119" t="s">
        <v>286</v>
      </c>
      <c r="E113" s="15">
        <v>72</v>
      </c>
      <c r="F113" s="127">
        <v>25.58</v>
      </c>
      <c r="G113" s="127">
        <v>31.33</v>
      </c>
      <c r="H113" s="155">
        <f t="shared" si="9"/>
        <v>2255.7599999999998</v>
      </c>
      <c r="L113" s="143">
        <f t="shared" si="7"/>
        <v>31.327825999999995</v>
      </c>
    </row>
    <row r="114" spans="1:12" s="111" customFormat="1" ht="20.25">
      <c r="A114" s="115" t="s">
        <v>594</v>
      </c>
      <c r="B114" s="118" t="s">
        <v>431</v>
      </c>
      <c r="C114" s="114" t="s">
        <v>432</v>
      </c>
      <c r="D114" s="119" t="s">
        <v>286</v>
      </c>
      <c r="E114" s="15">
        <v>2</v>
      </c>
      <c r="F114" s="127">
        <v>35.25</v>
      </c>
      <c r="G114" s="127">
        <v>43.17</v>
      </c>
      <c r="H114" s="155">
        <f t="shared" si="9"/>
        <v>86.34</v>
      </c>
      <c r="L114" s="143">
        <f t="shared" si="7"/>
        <v>43.170674999999996</v>
      </c>
    </row>
    <row r="115" spans="1:12" s="111" customFormat="1" ht="20.25">
      <c r="A115" s="115" t="s">
        <v>595</v>
      </c>
      <c r="B115" s="118" t="s">
        <v>433</v>
      </c>
      <c r="C115" s="114" t="s">
        <v>434</v>
      </c>
      <c r="D115" s="119" t="s">
        <v>286</v>
      </c>
      <c r="E115" s="15">
        <v>18</v>
      </c>
      <c r="F115" s="128">
        <v>28.96</v>
      </c>
      <c r="G115" s="128">
        <v>35.47</v>
      </c>
      <c r="H115" s="155">
        <f t="shared" si="9"/>
        <v>638.46</v>
      </c>
      <c r="L115" s="143">
        <f t="shared" si="7"/>
        <v>35.467312</v>
      </c>
    </row>
    <row r="116" spans="1:12" s="111" customFormat="1" ht="20.25">
      <c r="A116" s="115" t="s">
        <v>596</v>
      </c>
      <c r="B116" s="118" t="s">
        <v>427</v>
      </c>
      <c r="C116" s="114" t="s">
        <v>428</v>
      </c>
      <c r="D116" s="119" t="s">
        <v>286</v>
      </c>
      <c r="E116" s="15">
        <v>1</v>
      </c>
      <c r="F116" s="127">
        <v>59.32</v>
      </c>
      <c r="G116" s="127">
        <v>72.65</v>
      </c>
      <c r="H116" s="155">
        <f t="shared" si="9"/>
        <v>72.65</v>
      </c>
      <c r="L116" s="143">
        <f t="shared" si="7"/>
        <v>72.649204</v>
      </c>
    </row>
    <row r="117" spans="1:12" s="111" customFormat="1" ht="20.25">
      <c r="A117" s="115" t="s">
        <v>597</v>
      </c>
      <c r="B117" s="118" t="s">
        <v>429</v>
      </c>
      <c r="C117" s="114" t="s">
        <v>430</v>
      </c>
      <c r="D117" s="119" t="s">
        <v>286</v>
      </c>
      <c r="E117" s="15">
        <v>12</v>
      </c>
      <c r="F117" s="127">
        <v>44.14</v>
      </c>
      <c r="G117" s="127">
        <v>54.06</v>
      </c>
      <c r="H117" s="155">
        <f t="shared" si="9"/>
        <v>648.72</v>
      </c>
      <c r="L117" s="143">
        <f t="shared" si="7"/>
        <v>54.058257999999995</v>
      </c>
    </row>
    <row r="118" spans="1:12" s="134" customFormat="1" ht="16.5" customHeight="1">
      <c r="A118" s="129" t="s">
        <v>598</v>
      </c>
      <c r="B118" s="135"/>
      <c r="C118" s="136" t="s">
        <v>435</v>
      </c>
      <c r="D118" s="137"/>
      <c r="E118" s="138"/>
      <c r="F118" s="138"/>
      <c r="G118" s="138"/>
      <c r="H118" s="156">
        <f>SUM(H119:H123)</f>
        <v>2840.76</v>
      </c>
      <c r="L118" s="143">
        <f t="shared" si="7"/>
        <v>0</v>
      </c>
    </row>
    <row r="119" spans="1:12" s="111" customFormat="1" ht="25.5" customHeight="1">
      <c r="A119" s="115" t="s">
        <v>599</v>
      </c>
      <c r="B119" s="118" t="s">
        <v>436</v>
      </c>
      <c r="C119" s="114" t="s">
        <v>437</v>
      </c>
      <c r="D119" s="119" t="s">
        <v>286</v>
      </c>
      <c r="E119" s="15">
        <v>12</v>
      </c>
      <c r="F119" s="128">
        <v>17</v>
      </c>
      <c r="G119" s="128">
        <v>20.82</v>
      </c>
      <c r="H119" s="155">
        <f>E119*G119</f>
        <v>249.84</v>
      </c>
      <c r="L119" s="143">
        <f t="shared" si="7"/>
        <v>20.819899999999997</v>
      </c>
    </row>
    <row r="120" spans="1:12" s="111" customFormat="1" ht="24" customHeight="1">
      <c r="A120" s="115" t="s">
        <v>600</v>
      </c>
      <c r="B120" s="118" t="s">
        <v>438</v>
      </c>
      <c r="C120" s="114" t="s">
        <v>439</v>
      </c>
      <c r="D120" s="119" t="s">
        <v>286</v>
      </c>
      <c r="E120" s="15">
        <v>2</v>
      </c>
      <c r="F120" s="127">
        <v>17.63</v>
      </c>
      <c r="G120" s="127">
        <v>21.59</v>
      </c>
      <c r="H120" s="155">
        <f>E120*G120</f>
        <v>43.18</v>
      </c>
      <c r="L120" s="143">
        <f t="shared" si="7"/>
        <v>21.591460999999995</v>
      </c>
    </row>
    <row r="121" spans="1:12" s="111" customFormat="1" ht="24" customHeight="1">
      <c r="A121" s="115" t="s">
        <v>601</v>
      </c>
      <c r="B121" s="118" t="s">
        <v>476</v>
      </c>
      <c r="C121" s="114" t="s">
        <v>477</v>
      </c>
      <c r="D121" s="119" t="s">
        <v>286</v>
      </c>
      <c r="E121" s="15">
        <v>7</v>
      </c>
      <c r="F121" s="127">
        <v>89.82</v>
      </c>
      <c r="G121" s="127">
        <v>110</v>
      </c>
      <c r="H121" s="155">
        <f>E121*G121</f>
        <v>770</v>
      </c>
      <c r="L121" s="143">
        <f t="shared" si="7"/>
        <v>110.00255399999999</v>
      </c>
    </row>
    <row r="122" spans="1:12" s="111" customFormat="1" ht="12" customHeight="1">
      <c r="A122" s="115" t="s">
        <v>602</v>
      </c>
      <c r="B122" s="118" t="s">
        <v>478</v>
      </c>
      <c r="C122" s="114" t="s">
        <v>479</v>
      </c>
      <c r="D122" s="119" t="s">
        <v>286</v>
      </c>
      <c r="E122" s="15">
        <v>1</v>
      </c>
      <c r="F122" s="127">
        <v>339.63</v>
      </c>
      <c r="G122" s="127">
        <v>415.94</v>
      </c>
      <c r="H122" s="155">
        <f>E122*G122</f>
        <v>415.94</v>
      </c>
      <c r="L122" s="143">
        <f t="shared" si="7"/>
        <v>415.94486099999995</v>
      </c>
    </row>
    <row r="123" spans="1:12" s="111" customFormat="1" ht="24.75" customHeight="1">
      <c r="A123" s="115" t="s">
        <v>603</v>
      </c>
      <c r="B123" s="118" t="s">
        <v>480</v>
      </c>
      <c r="C123" s="114" t="s">
        <v>481</v>
      </c>
      <c r="D123" s="119" t="s">
        <v>286</v>
      </c>
      <c r="E123" s="15">
        <v>4</v>
      </c>
      <c r="F123" s="127">
        <v>277.99</v>
      </c>
      <c r="G123" s="127">
        <v>340.45</v>
      </c>
      <c r="H123" s="155">
        <f>E123*G123</f>
        <v>1361.8</v>
      </c>
      <c r="L123" s="143">
        <f t="shared" si="7"/>
        <v>340.45435299999997</v>
      </c>
    </row>
    <row r="124" spans="1:12" s="134" customFormat="1" ht="16.5" customHeight="1">
      <c r="A124" s="129" t="s">
        <v>604</v>
      </c>
      <c r="B124" s="135"/>
      <c r="C124" s="136" t="s">
        <v>440</v>
      </c>
      <c r="D124" s="137"/>
      <c r="E124" s="138"/>
      <c r="F124" s="138"/>
      <c r="G124" s="138"/>
      <c r="H124" s="156">
        <f>H125</f>
        <v>10119.9</v>
      </c>
      <c r="L124" s="143">
        <f t="shared" si="7"/>
        <v>0</v>
      </c>
    </row>
    <row r="125" spans="1:12" s="111" customFormat="1" ht="30">
      <c r="A125" s="115" t="s">
        <v>605</v>
      </c>
      <c r="B125" s="118" t="s">
        <v>441</v>
      </c>
      <c r="C125" s="114" t="s">
        <v>442</v>
      </c>
      <c r="D125" s="119" t="s">
        <v>23</v>
      </c>
      <c r="E125" s="15">
        <v>91.5</v>
      </c>
      <c r="F125" s="127">
        <v>90.31</v>
      </c>
      <c r="G125" s="127">
        <v>110.6</v>
      </c>
      <c r="H125" s="155">
        <f>E125*G125</f>
        <v>10119.9</v>
      </c>
      <c r="L125" s="143">
        <f t="shared" si="7"/>
        <v>110.602657</v>
      </c>
    </row>
    <row r="126" spans="1:12" s="134" customFormat="1" ht="16.5" customHeight="1">
      <c r="A126" s="129" t="s">
        <v>606</v>
      </c>
      <c r="B126" s="135"/>
      <c r="C126" s="136" t="s">
        <v>443</v>
      </c>
      <c r="D126" s="137"/>
      <c r="E126" s="138"/>
      <c r="F126" s="138"/>
      <c r="G126" s="138"/>
      <c r="H126" s="156">
        <f>SUM(H127:H130)</f>
        <v>239.13039999999998</v>
      </c>
      <c r="L126" s="143">
        <f t="shared" si="7"/>
        <v>0</v>
      </c>
    </row>
    <row r="127" spans="1:12" s="111" customFormat="1" ht="22.5" customHeight="1">
      <c r="A127" s="115" t="s">
        <v>607</v>
      </c>
      <c r="B127" s="118" t="s">
        <v>482</v>
      </c>
      <c r="C127" s="114" t="s">
        <v>483</v>
      </c>
      <c r="D127" s="119" t="s">
        <v>23</v>
      </c>
      <c r="E127" s="15">
        <v>16.14</v>
      </c>
      <c r="F127" s="152">
        <v>8.87</v>
      </c>
      <c r="G127" s="150">
        <v>10.86</v>
      </c>
      <c r="H127" s="155">
        <f>E127*G127</f>
        <v>175.2804</v>
      </c>
      <c r="L127" s="143">
        <f t="shared" si="7"/>
        <v>10.863088999999999</v>
      </c>
    </row>
    <row r="128" spans="1:12" s="111" customFormat="1" ht="34.5" customHeight="1">
      <c r="A128" s="115" t="s">
        <v>608</v>
      </c>
      <c r="B128" s="118" t="s">
        <v>444</v>
      </c>
      <c r="C128" s="114" t="s">
        <v>445</v>
      </c>
      <c r="D128" s="119" t="s">
        <v>23</v>
      </c>
      <c r="E128" s="15">
        <v>1</v>
      </c>
      <c r="F128" s="127">
        <v>14.39</v>
      </c>
      <c r="G128" s="127">
        <v>17.62</v>
      </c>
      <c r="H128" s="155">
        <f>E128*G128</f>
        <v>17.62</v>
      </c>
      <c r="L128" s="143">
        <f t="shared" si="7"/>
        <v>17.623433</v>
      </c>
    </row>
    <row r="129" spans="1:12" s="111" customFormat="1" ht="35.25" customHeight="1">
      <c r="A129" s="115" t="s">
        <v>609</v>
      </c>
      <c r="B129" s="118" t="s">
        <v>448</v>
      </c>
      <c r="C129" s="114" t="s">
        <v>449</v>
      </c>
      <c r="D129" s="119" t="s">
        <v>23</v>
      </c>
      <c r="E129" s="15">
        <v>1</v>
      </c>
      <c r="F129" s="127">
        <v>18.49</v>
      </c>
      <c r="G129" s="127">
        <v>22.64</v>
      </c>
      <c r="H129" s="155">
        <f>E129*G129</f>
        <v>22.64</v>
      </c>
      <c r="L129" s="143">
        <f t="shared" si="7"/>
        <v>22.644702999999996</v>
      </c>
    </row>
    <row r="130" spans="1:12" s="111" customFormat="1" ht="24.75" customHeight="1">
      <c r="A130" s="115" t="s">
        <v>610</v>
      </c>
      <c r="B130" s="118" t="s">
        <v>450</v>
      </c>
      <c r="C130" s="114" t="s">
        <v>451</v>
      </c>
      <c r="D130" s="119" t="s">
        <v>23</v>
      </c>
      <c r="E130" s="15">
        <v>1</v>
      </c>
      <c r="F130" s="127">
        <v>19.26</v>
      </c>
      <c r="G130" s="127">
        <v>23.59</v>
      </c>
      <c r="H130" s="155">
        <f>E130*G130</f>
        <v>23.59</v>
      </c>
      <c r="L130" s="143">
        <f t="shared" si="7"/>
        <v>23.587722</v>
      </c>
    </row>
    <row r="131" spans="1:12" s="134" customFormat="1" ht="16.5" customHeight="1">
      <c r="A131" s="129" t="s">
        <v>611</v>
      </c>
      <c r="B131" s="135"/>
      <c r="C131" s="136" t="s">
        <v>454</v>
      </c>
      <c r="D131" s="137"/>
      <c r="E131" s="138"/>
      <c r="F131" s="138"/>
      <c r="G131" s="138"/>
      <c r="H131" s="156">
        <f>SUM(H132:H134)</f>
        <v>13078.56</v>
      </c>
      <c r="L131" s="143">
        <f t="shared" si="7"/>
        <v>0</v>
      </c>
    </row>
    <row r="132" spans="1:12" s="111" customFormat="1" ht="30">
      <c r="A132" s="115" t="s">
        <v>612</v>
      </c>
      <c r="B132" s="118" t="s">
        <v>452</v>
      </c>
      <c r="C132" s="114" t="s">
        <v>453</v>
      </c>
      <c r="D132" s="119" t="s">
        <v>286</v>
      </c>
      <c r="E132" s="15">
        <v>3</v>
      </c>
      <c r="F132" s="128">
        <v>83.45</v>
      </c>
      <c r="G132" s="128">
        <v>102.2</v>
      </c>
      <c r="H132" s="155">
        <f>E132*G132</f>
        <v>306.6</v>
      </c>
      <c r="L132" s="143">
        <f t="shared" si="7"/>
        <v>102.20121499999999</v>
      </c>
    </row>
    <row r="133" spans="1:12" s="111" customFormat="1" ht="37.5" customHeight="1">
      <c r="A133" s="115" t="s">
        <v>613</v>
      </c>
      <c r="B133" s="118" t="s">
        <v>455</v>
      </c>
      <c r="C133" s="114" t="s">
        <v>456</v>
      </c>
      <c r="D133" s="119" t="s">
        <v>286</v>
      </c>
      <c r="E133" s="15">
        <v>74</v>
      </c>
      <c r="F133" s="127">
        <v>132.39</v>
      </c>
      <c r="G133" s="127">
        <v>162.14</v>
      </c>
      <c r="H133" s="155">
        <f>E133*G133</f>
        <v>11998.359999999999</v>
      </c>
      <c r="L133" s="143">
        <f t="shared" si="7"/>
        <v>162.13803299999998</v>
      </c>
    </row>
    <row r="134" spans="1:12" s="111" customFormat="1" ht="45" customHeight="1">
      <c r="A134" s="115" t="s">
        <v>614</v>
      </c>
      <c r="B134" s="118" t="s">
        <v>457</v>
      </c>
      <c r="C134" s="114" t="s">
        <v>458</v>
      </c>
      <c r="D134" s="119" t="s">
        <v>286</v>
      </c>
      <c r="E134" s="15">
        <v>10</v>
      </c>
      <c r="F134" s="127">
        <v>63.17</v>
      </c>
      <c r="G134" s="127">
        <v>77.36</v>
      </c>
      <c r="H134" s="155">
        <f>E134*G134</f>
        <v>773.6</v>
      </c>
      <c r="L134" s="143">
        <f t="shared" si="7"/>
        <v>77.364299</v>
      </c>
    </row>
    <row r="135" spans="1:12" s="134" customFormat="1" ht="16.5" customHeight="1">
      <c r="A135" s="129" t="s">
        <v>615</v>
      </c>
      <c r="B135" s="135"/>
      <c r="C135" s="136" t="s">
        <v>459</v>
      </c>
      <c r="D135" s="137"/>
      <c r="E135" s="138"/>
      <c r="F135" s="138"/>
      <c r="G135" s="138"/>
      <c r="H135" s="156">
        <f>SUM(H136:H137)</f>
        <v>5037.71</v>
      </c>
      <c r="L135" s="143">
        <f t="shared" si="7"/>
        <v>0</v>
      </c>
    </row>
    <row r="136" spans="1:12" s="111" customFormat="1" ht="45" customHeight="1">
      <c r="A136" s="115" t="s">
        <v>616</v>
      </c>
      <c r="B136" s="118" t="s">
        <v>484</v>
      </c>
      <c r="C136" s="114" t="s">
        <v>485</v>
      </c>
      <c r="D136" s="119" t="s">
        <v>286</v>
      </c>
      <c r="E136" s="15">
        <v>1</v>
      </c>
      <c r="F136" s="127">
        <v>3481.84</v>
      </c>
      <c r="G136" s="127">
        <v>4264.21</v>
      </c>
      <c r="H136" s="155">
        <f>E136*G136</f>
        <v>4264.21</v>
      </c>
      <c r="L136" s="143">
        <f t="shared" si="7"/>
        <v>4264.209448</v>
      </c>
    </row>
    <row r="137" spans="1:12" s="111" customFormat="1" ht="45.75" customHeight="1" thickBot="1">
      <c r="A137" s="115" t="s">
        <v>617</v>
      </c>
      <c r="B137" s="118" t="s">
        <v>486</v>
      </c>
      <c r="C137" s="114" t="s">
        <v>487</v>
      </c>
      <c r="D137" s="119" t="s">
        <v>286</v>
      </c>
      <c r="E137" s="15">
        <v>1</v>
      </c>
      <c r="F137" s="127">
        <v>631.58</v>
      </c>
      <c r="G137" s="127">
        <v>773.5</v>
      </c>
      <c r="H137" s="155">
        <f>E137*G137</f>
        <v>773.5</v>
      </c>
      <c r="L137" s="143">
        <f t="shared" si="7"/>
        <v>773.496026</v>
      </c>
    </row>
    <row r="138" spans="1:12" ht="14.25" customHeight="1" hidden="1" thickBot="1">
      <c r="A138" s="207" t="s">
        <v>284</v>
      </c>
      <c r="B138" s="208"/>
      <c r="C138" s="208"/>
      <c r="D138" s="208"/>
      <c r="E138" s="208"/>
      <c r="F138" s="208"/>
      <c r="G138" s="208"/>
      <c r="H138" s="208"/>
      <c r="J138" s="52" t="e">
        <f>#REF!-#REF!</f>
        <v>#REF!</v>
      </c>
      <c r="L138" s="143">
        <f t="shared" si="7"/>
        <v>0</v>
      </c>
    </row>
    <row r="139" spans="1:12" ht="14.25" customHeight="1" thickBot="1">
      <c r="A139" s="160"/>
      <c r="B139" s="160"/>
      <c r="C139" s="160"/>
      <c r="D139" s="160"/>
      <c r="E139" s="160"/>
      <c r="F139" s="229" t="s">
        <v>576</v>
      </c>
      <c r="G139" s="230"/>
      <c r="H139" s="161" t="e">
        <f>H94+H70+H61+H50+H46+H41+H30+H25+H17+H15+H11</f>
        <v>#REF!</v>
      </c>
      <c r="J139" s="52"/>
      <c r="L139" s="143"/>
    </row>
    <row r="140" spans="1:12" ht="11.25" customHeight="1">
      <c r="A140" s="113"/>
      <c r="B140" s="113"/>
      <c r="C140" s="113"/>
      <c r="D140" s="113"/>
      <c r="E140" s="113"/>
      <c r="F140" s="113"/>
      <c r="G140" s="113"/>
      <c r="H140" s="113"/>
      <c r="L140" s="143">
        <f t="shared" si="7"/>
        <v>0</v>
      </c>
    </row>
    <row r="141" spans="1:12" ht="27" customHeight="1">
      <c r="A141" s="113"/>
      <c r="B141" s="113"/>
      <c r="C141" s="113"/>
      <c r="D141" s="113"/>
      <c r="E141" s="113"/>
      <c r="F141" s="113"/>
      <c r="G141" s="113"/>
      <c r="H141" s="113"/>
      <c r="L141" s="143">
        <f t="shared" si="7"/>
        <v>0</v>
      </c>
    </row>
    <row r="142" spans="1:12" ht="11.25" customHeight="1">
      <c r="A142" s="113"/>
      <c r="B142" s="113"/>
      <c r="C142" s="164"/>
      <c r="D142" s="113"/>
      <c r="E142" s="222"/>
      <c r="F142" s="222"/>
      <c r="G142" s="222"/>
      <c r="H142" s="113"/>
      <c r="L142" s="143">
        <f t="shared" si="7"/>
        <v>0</v>
      </c>
    </row>
    <row r="143" spans="1:12" ht="12.75">
      <c r="A143" s="6"/>
      <c r="B143" s="6"/>
      <c r="C143" s="9" t="s">
        <v>285</v>
      </c>
      <c r="D143" s="6"/>
      <c r="E143" s="196" t="s">
        <v>619</v>
      </c>
      <c r="F143" s="196"/>
      <c r="G143" s="196"/>
      <c r="H143" s="6"/>
      <c r="L143" s="143">
        <f t="shared" si="7"/>
        <v>0</v>
      </c>
    </row>
    <row r="144" spans="1:12" ht="12.75">
      <c r="A144" s="111"/>
      <c r="B144" s="165"/>
      <c r="C144" s="159" t="s">
        <v>527</v>
      </c>
      <c r="D144" s="111"/>
      <c r="E144" s="219" t="s">
        <v>620</v>
      </c>
      <c r="F144" s="219"/>
      <c r="G144" s="219"/>
      <c r="H144" s="111"/>
      <c r="L144" s="143">
        <f t="shared" si="7"/>
        <v>0</v>
      </c>
    </row>
    <row r="145" spans="1:12" ht="12.75">
      <c r="A145" s="111"/>
      <c r="B145" s="111"/>
      <c r="C145" s="120"/>
      <c r="D145" s="111"/>
      <c r="E145" s="111"/>
      <c r="F145" s="111"/>
      <c r="G145" s="111"/>
      <c r="H145" s="111"/>
      <c r="L145" s="143">
        <f t="shared" si="7"/>
        <v>0</v>
      </c>
    </row>
    <row r="146" ht="12" customHeight="1">
      <c r="L146" s="143">
        <f t="shared" si="7"/>
        <v>0</v>
      </c>
    </row>
    <row r="147" ht="11.25" customHeight="1"/>
    <row r="148" ht="12" customHeight="1"/>
    <row r="149" ht="13.5" customHeight="1"/>
    <row r="150" ht="4.5" customHeight="1"/>
  </sheetData>
  <sheetProtection/>
  <mergeCells count="28">
    <mergeCell ref="A1:B1"/>
    <mergeCell ref="C1:H1"/>
    <mergeCell ref="I1:J1"/>
    <mergeCell ref="A138:H138"/>
    <mergeCell ref="A10:H10"/>
    <mergeCell ref="F139:G139"/>
    <mergeCell ref="C17:E17"/>
    <mergeCell ref="A4:D4"/>
    <mergeCell ref="E4:H4"/>
    <mergeCell ref="I4:J4"/>
    <mergeCell ref="A3:H3"/>
    <mergeCell ref="I3:J3"/>
    <mergeCell ref="A2:H2"/>
    <mergeCell ref="I2:J2"/>
    <mergeCell ref="A6:D6"/>
    <mergeCell ref="E6:E7"/>
    <mergeCell ref="F6:F7"/>
    <mergeCell ref="I6:J6"/>
    <mergeCell ref="A5:D5"/>
    <mergeCell ref="E5:H5"/>
    <mergeCell ref="I5:J5"/>
    <mergeCell ref="E143:G143"/>
    <mergeCell ref="E144:G144"/>
    <mergeCell ref="A8:H8"/>
    <mergeCell ref="I8:J8"/>
    <mergeCell ref="A7:D7"/>
    <mergeCell ref="I7:J7"/>
    <mergeCell ref="E142:G142"/>
  </mergeCells>
  <printOptions horizontalCentered="1"/>
  <pageMargins left="0.3937007874015748" right="0.3937007874015748" top="0.3937007874015748" bottom="0.3937007874015748" header="0" footer="0"/>
  <pageSetup horizontalDpi="600" verticalDpi="600" orientation="landscape" paperSize="9" r:id="rId4"/>
  <headerFooter alignWithMargins="0">
    <oddHeader>&amp;R
 &amp;P de &amp;N</oddHeader>
  </headerFooter>
  <rowBreaks count="1" manualBreakCount="1">
    <brk id="38" max="255" man="1"/>
  </rowBreaks>
  <drawing r:id="rId3"/>
  <legacyDrawing r:id="rId2"/>
  <oleObjects>
    <oleObject progId="CorelDRAW.Graphic.10" shapeId="79300623" r:id="rId1"/>
  </oleObjects>
</worksheet>
</file>

<file path=xl/worksheets/sheet4.xml><?xml version="1.0" encoding="utf-8"?>
<worksheet xmlns="http://schemas.openxmlformats.org/spreadsheetml/2006/main" xmlns:r="http://schemas.openxmlformats.org/officeDocument/2006/relationships">
  <dimension ref="A1:P86"/>
  <sheetViews>
    <sheetView zoomScale="85" zoomScaleNormal="85" zoomScalePageLayoutView="0" workbookViewId="0" topLeftCell="A70">
      <selection activeCell="C62" sqref="C62:D62"/>
    </sheetView>
  </sheetViews>
  <sheetFormatPr defaultColWidth="9.140625" defaultRowHeight="12.75"/>
  <cols>
    <col min="1" max="1" width="7.8515625" style="0" customWidth="1"/>
    <col min="2" max="2" width="12.7109375" style="0" customWidth="1"/>
    <col min="3" max="3" width="72.28125" style="0" customWidth="1"/>
    <col min="4" max="4" width="7.7109375" style="0" customWidth="1"/>
    <col min="5" max="5" width="9.140625" style="0" hidden="1" customWidth="1"/>
    <col min="7" max="7" width="14.421875" style="0" customWidth="1"/>
    <col min="8" max="8" width="14.421875" style="67" customWidth="1"/>
    <col min="9" max="9" width="14.421875" style="68" customWidth="1"/>
    <col min="10" max="10" width="13.00390625" style="0" customWidth="1"/>
    <col min="11" max="11" width="12.57421875" style="0" customWidth="1"/>
    <col min="12" max="12" width="13.00390625" style="0" customWidth="1"/>
    <col min="13" max="13" width="12.00390625" style="0" bestFit="1" customWidth="1"/>
    <col min="14" max="14" width="13.140625" style="0" bestFit="1" customWidth="1"/>
  </cols>
  <sheetData>
    <row r="1" spans="1:12" ht="12.75">
      <c r="A1" s="209" t="s">
        <v>102</v>
      </c>
      <c r="B1" s="209"/>
      <c r="C1" s="209"/>
      <c r="D1" s="209"/>
      <c r="E1" s="209"/>
      <c r="F1" s="209"/>
      <c r="G1" s="209"/>
      <c r="H1" s="209"/>
      <c r="I1" s="209"/>
      <c r="J1" s="209"/>
      <c r="K1" s="209"/>
      <c r="L1" s="209"/>
    </row>
    <row r="2" spans="1:12" ht="12.75">
      <c r="A2" s="210" t="s">
        <v>103</v>
      </c>
      <c r="B2" s="210"/>
      <c r="C2" s="210"/>
      <c r="D2" s="210"/>
      <c r="E2" s="210"/>
      <c r="F2" s="210"/>
      <c r="G2" s="210" t="s">
        <v>104</v>
      </c>
      <c r="H2" s="210"/>
      <c r="I2" s="210"/>
      <c r="J2" s="210"/>
      <c r="K2" s="210"/>
      <c r="L2" s="210"/>
    </row>
    <row r="3" spans="1:12" ht="12.75">
      <c r="A3" s="211" t="s">
        <v>105</v>
      </c>
      <c r="B3" s="211"/>
      <c r="C3" s="211"/>
      <c r="D3" s="211"/>
      <c r="E3" s="211"/>
      <c r="F3" s="211"/>
      <c r="G3" s="212" t="s">
        <v>106</v>
      </c>
      <c r="H3" s="212"/>
      <c r="I3" s="212"/>
      <c r="J3" s="212"/>
      <c r="K3" s="212"/>
      <c r="L3" s="212"/>
    </row>
    <row r="4" spans="1:12" ht="12.75">
      <c r="A4" s="70" t="s">
        <v>107</v>
      </c>
      <c r="B4" s="70"/>
      <c r="C4" s="70"/>
      <c r="D4" s="212" t="s">
        <v>108</v>
      </c>
      <c r="E4" s="212"/>
      <c r="F4" s="212"/>
      <c r="G4" s="212"/>
      <c r="H4" s="212"/>
      <c r="I4" s="212"/>
      <c r="J4" s="212"/>
      <c r="K4" s="212"/>
      <c r="L4" s="212"/>
    </row>
    <row r="5" spans="1:12" ht="12.75">
      <c r="A5" s="70" t="s">
        <v>109</v>
      </c>
      <c r="B5" s="70"/>
      <c r="C5" s="71"/>
      <c r="D5" s="215" t="s">
        <v>110</v>
      </c>
      <c r="E5" s="215"/>
      <c r="F5" s="215"/>
      <c r="G5" s="215"/>
      <c r="H5" s="215"/>
      <c r="I5" s="215"/>
      <c r="J5" s="215"/>
      <c r="K5" s="209" t="s">
        <v>111</v>
      </c>
      <c r="L5" s="209"/>
    </row>
    <row r="6" spans="1:12" ht="12.75">
      <c r="A6" s="70" t="s">
        <v>112</v>
      </c>
      <c r="B6" s="70"/>
      <c r="C6" s="71"/>
      <c r="D6" s="215"/>
      <c r="E6" s="215"/>
      <c r="F6" s="215"/>
      <c r="G6" s="215"/>
      <c r="H6" s="215"/>
      <c r="I6" s="215"/>
      <c r="J6" s="215"/>
      <c r="K6" s="211" t="s">
        <v>113</v>
      </c>
      <c r="L6" s="211"/>
    </row>
    <row r="7" spans="1:12" ht="45" customHeight="1">
      <c r="A7" s="69" t="s">
        <v>0</v>
      </c>
      <c r="B7" s="69" t="s">
        <v>5</v>
      </c>
      <c r="C7" s="209" t="s">
        <v>114</v>
      </c>
      <c r="D7" s="209"/>
      <c r="E7" s="209"/>
      <c r="F7" s="73" t="s">
        <v>3</v>
      </c>
      <c r="G7" s="69" t="s">
        <v>2</v>
      </c>
      <c r="H7" s="74" t="s">
        <v>282</v>
      </c>
      <c r="I7" s="75" t="s">
        <v>283</v>
      </c>
      <c r="J7" s="76" t="s">
        <v>115</v>
      </c>
      <c r="K7" s="77" t="s">
        <v>116</v>
      </c>
      <c r="L7" s="69" t="s">
        <v>10</v>
      </c>
    </row>
    <row r="8" spans="1:12" s="100" customFormat="1" ht="12.75">
      <c r="A8" s="95">
        <v>1</v>
      </c>
      <c r="B8" s="96"/>
      <c r="C8" s="240" t="s">
        <v>117</v>
      </c>
      <c r="D8" s="240"/>
      <c r="E8" s="240"/>
      <c r="F8" s="96"/>
      <c r="G8" s="97"/>
      <c r="H8" s="97"/>
      <c r="I8" s="97"/>
      <c r="J8" s="97"/>
      <c r="K8" s="97"/>
      <c r="L8" s="99"/>
    </row>
    <row r="9" spans="1:12" ht="12.75">
      <c r="A9" s="69" t="s">
        <v>16</v>
      </c>
      <c r="B9" s="71"/>
      <c r="C9" s="214" t="s">
        <v>118</v>
      </c>
      <c r="D9" s="214"/>
      <c r="E9" s="214"/>
      <c r="F9" s="71"/>
      <c r="G9" s="72"/>
      <c r="H9" s="78"/>
      <c r="I9" s="79"/>
      <c r="J9" s="72"/>
      <c r="K9" s="72"/>
      <c r="L9" s="72"/>
    </row>
    <row r="10" spans="1:12" ht="12.75">
      <c r="A10" s="69" t="s">
        <v>119</v>
      </c>
      <c r="B10" s="71" t="s">
        <v>120</v>
      </c>
      <c r="C10" s="214" t="s">
        <v>121</v>
      </c>
      <c r="D10" s="214"/>
      <c r="E10" s="214"/>
      <c r="F10" s="72" t="s">
        <v>122</v>
      </c>
      <c r="G10" s="72">
        <v>15</v>
      </c>
      <c r="H10" s="78">
        <f>15</f>
        <v>15</v>
      </c>
      <c r="I10" s="79">
        <f>G10-H10</f>
        <v>0</v>
      </c>
      <c r="J10" s="72">
        <v>271.23</v>
      </c>
      <c r="K10" s="81">
        <f>(J10*0.26)+J10</f>
        <v>341.74980000000005</v>
      </c>
      <c r="L10" s="80">
        <f>G10*K10</f>
        <v>5126.247000000001</v>
      </c>
    </row>
    <row r="11" spans="1:12" ht="30.75" customHeight="1">
      <c r="A11" s="69" t="s">
        <v>123</v>
      </c>
      <c r="B11" s="71" t="s">
        <v>124</v>
      </c>
      <c r="C11" s="217" t="s">
        <v>125</v>
      </c>
      <c r="D11" s="217"/>
      <c r="E11" s="217"/>
      <c r="F11" s="72" t="s">
        <v>126</v>
      </c>
      <c r="G11" s="72">
        <v>1</v>
      </c>
      <c r="H11" s="78">
        <f>1</f>
        <v>1</v>
      </c>
      <c r="I11" s="79">
        <f aca="true" t="shared" si="0" ref="I11:I74">G11-H11</f>
        <v>0</v>
      </c>
      <c r="J11" s="72">
        <v>723.45</v>
      </c>
      <c r="K11" s="81">
        <f aca="true" t="shared" si="1" ref="K11:K74">(J11*0.26)+J11</f>
        <v>911.547</v>
      </c>
      <c r="L11" s="80">
        <f aca="true" t="shared" si="2" ref="L11:L74">G11*K11</f>
        <v>911.547</v>
      </c>
    </row>
    <row r="12" spans="1:12" ht="12.75">
      <c r="A12" s="69" t="s">
        <v>127</v>
      </c>
      <c r="B12" s="71" t="s">
        <v>128</v>
      </c>
      <c r="C12" s="214" t="s">
        <v>129</v>
      </c>
      <c r="D12" s="214"/>
      <c r="E12" s="214"/>
      <c r="F12" s="72" t="s">
        <v>126</v>
      </c>
      <c r="G12" s="72">
        <v>1</v>
      </c>
      <c r="H12" s="78">
        <f>1</f>
        <v>1</v>
      </c>
      <c r="I12" s="79">
        <f t="shared" si="0"/>
        <v>0</v>
      </c>
      <c r="J12" s="72">
        <v>867.55</v>
      </c>
      <c r="K12" s="81">
        <f t="shared" si="1"/>
        <v>1093.1129999999998</v>
      </c>
      <c r="L12" s="80">
        <f t="shared" si="2"/>
        <v>1093.1129999999998</v>
      </c>
    </row>
    <row r="13" spans="1:12" ht="12.75">
      <c r="A13" s="69" t="s">
        <v>130</v>
      </c>
      <c r="B13" s="71" t="s">
        <v>131</v>
      </c>
      <c r="C13" s="214" t="s">
        <v>132</v>
      </c>
      <c r="D13" s="214"/>
      <c r="E13" s="214"/>
      <c r="F13" s="72" t="s">
        <v>126</v>
      </c>
      <c r="G13" s="72">
        <v>1</v>
      </c>
      <c r="H13" s="78">
        <f>1</f>
        <v>1</v>
      </c>
      <c r="I13" s="79">
        <f t="shared" si="0"/>
        <v>0</v>
      </c>
      <c r="J13" s="72">
        <v>398.25</v>
      </c>
      <c r="K13" s="81">
        <f t="shared" si="1"/>
        <v>501.795</v>
      </c>
      <c r="L13" s="80">
        <f t="shared" si="2"/>
        <v>501.795</v>
      </c>
    </row>
    <row r="14" spans="1:12" ht="12.75">
      <c r="A14" s="69"/>
      <c r="B14" s="71"/>
      <c r="C14" s="214"/>
      <c r="D14" s="214"/>
      <c r="E14" s="71"/>
      <c r="F14" s="72"/>
      <c r="G14" s="72"/>
      <c r="H14" s="78"/>
      <c r="I14" s="79">
        <f t="shared" si="0"/>
        <v>0</v>
      </c>
      <c r="J14" s="72"/>
      <c r="K14" s="81"/>
      <c r="L14" s="80"/>
    </row>
    <row r="15" spans="1:12" s="47" customFormat="1" ht="12.75">
      <c r="A15" s="85">
        <v>2</v>
      </c>
      <c r="B15" s="86"/>
      <c r="C15" s="216" t="s">
        <v>133</v>
      </c>
      <c r="D15" s="216"/>
      <c r="E15" s="86"/>
      <c r="F15" s="87"/>
      <c r="G15" s="87"/>
      <c r="H15" s="88"/>
      <c r="I15" s="89">
        <f t="shared" si="0"/>
        <v>0</v>
      </c>
      <c r="J15" s="87"/>
      <c r="K15" s="91"/>
      <c r="L15" s="90"/>
    </row>
    <row r="16" spans="1:12" ht="12.75">
      <c r="A16" s="69" t="s">
        <v>19</v>
      </c>
      <c r="B16" s="71"/>
      <c r="C16" s="214" t="s">
        <v>17</v>
      </c>
      <c r="D16" s="214"/>
      <c r="E16" s="71"/>
      <c r="F16" s="72"/>
      <c r="G16" s="72"/>
      <c r="H16" s="78"/>
      <c r="I16" s="79">
        <f t="shared" si="0"/>
        <v>0</v>
      </c>
      <c r="J16" s="72"/>
      <c r="K16" s="81"/>
      <c r="L16" s="80"/>
    </row>
    <row r="17" spans="1:12" ht="30" customHeight="1">
      <c r="A17" s="69" t="s">
        <v>32</v>
      </c>
      <c r="B17" s="71" t="s">
        <v>134</v>
      </c>
      <c r="C17" s="217" t="s">
        <v>135</v>
      </c>
      <c r="D17" s="217"/>
      <c r="E17" s="71"/>
      <c r="F17" s="72" t="s">
        <v>122</v>
      </c>
      <c r="G17" s="82">
        <v>2404.42</v>
      </c>
      <c r="H17" s="83">
        <f>2404.42</f>
        <v>2404.42</v>
      </c>
      <c r="I17" s="79">
        <f t="shared" si="0"/>
        <v>0</v>
      </c>
      <c r="J17" s="72">
        <v>5.61</v>
      </c>
      <c r="K17" s="81">
        <f t="shared" si="1"/>
        <v>7.0686</v>
      </c>
      <c r="L17" s="80">
        <f t="shared" si="2"/>
        <v>16995.883212</v>
      </c>
    </row>
    <row r="18" spans="1:12" ht="12.75">
      <c r="A18" s="69"/>
      <c r="B18" s="71"/>
      <c r="C18" s="214"/>
      <c r="D18" s="214"/>
      <c r="E18" s="71"/>
      <c r="F18" s="72"/>
      <c r="G18" s="72"/>
      <c r="H18" s="78"/>
      <c r="I18" s="79">
        <f t="shared" si="0"/>
        <v>0</v>
      </c>
      <c r="J18" s="72"/>
      <c r="K18" s="81"/>
      <c r="L18" s="80"/>
    </row>
    <row r="19" spans="1:12" s="100" customFormat="1" ht="12.75">
      <c r="A19" s="101">
        <v>3</v>
      </c>
      <c r="B19" s="96"/>
      <c r="C19" s="242" t="s">
        <v>78</v>
      </c>
      <c r="D19" s="242"/>
      <c r="E19" s="96"/>
      <c r="F19" s="97"/>
      <c r="G19" s="97"/>
      <c r="H19" s="97"/>
      <c r="I19" s="97">
        <f t="shared" si="0"/>
        <v>0</v>
      </c>
      <c r="J19" s="97"/>
      <c r="K19" s="98"/>
      <c r="L19" s="99"/>
    </row>
    <row r="20" spans="1:12" ht="12.75">
      <c r="A20" s="69" t="s">
        <v>22</v>
      </c>
      <c r="B20" s="71"/>
      <c r="C20" s="214" t="s">
        <v>136</v>
      </c>
      <c r="D20" s="214"/>
      <c r="E20" s="71"/>
      <c r="F20" s="72"/>
      <c r="G20" s="72"/>
      <c r="H20" s="78"/>
      <c r="I20" s="79">
        <f t="shared" si="0"/>
        <v>0</v>
      </c>
      <c r="J20" s="72"/>
      <c r="K20" s="81"/>
      <c r="L20" s="80"/>
    </row>
    <row r="21" spans="1:12" ht="30.75" customHeight="1">
      <c r="A21" s="69" t="s">
        <v>34</v>
      </c>
      <c r="B21" s="71" t="s">
        <v>137</v>
      </c>
      <c r="C21" s="217" t="s">
        <v>138</v>
      </c>
      <c r="D21" s="217"/>
      <c r="E21" s="71"/>
      <c r="F21" s="72" t="s">
        <v>122</v>
      </c>
      <c r="G21" s="82">
        <v>1326.61</v>
      </c>
      <c r="H21" s="83"/>
      <c r="I21" s="79">
        <f t="shared" si="0"/>
        <v>1326.61</v>
      </c>
      <c r="J21" s="72">
        <v>12.79</v>
      </c>
      <c r="K21" s="81">
        <f t="shared" si="1"/>
        <v>16.115399999999998</v>
      </c>
      <c r="L21" s="80">
        <f t="shared" si="2"/>
        <v>21378.850793999994</v>
      </c>
    </row>
    <row r="22" spans="1:12" ht="30.75" customHeight="1">
      <c r="A22" s="69" t="s">
        <v>35</v>
      </c>
      <c r="B22" s="71" t="s">
        <v>139</v>
      </c>
      <c r="C22" s="217" t="s">
        <v>140</v>
      </c>
      <c r="D22" s="217"/>
      <c r="E22" s="71"/>
      <c r="F22" s="72" t="s">
        <v>126</v>
      </c>
      <c r="G22" s="72">
        <v>72</v>
      </c>
      <c r="H22" s="78"/>
      <c r="I22" s="79">
        <f t="shared" si="0"/>
        <v>72</v>
      </c>
      <c r="J22" s="72">
        <v>5.47</v>
      </c>
      <c r="K22" s="81">
        <f t="shared" si="1"/>
        <v>6.8922</v>
      </c>
      <c r="L22" s="80">
        <f t="shared" si="2"/>
        <v>496.2384</v>
      </c>
    </row>
    <row r="23" spans="1:12" ht="12.75">
      <c r="A23" s="69" t="s">
        <v>36</v>
      </c>
      <c r="B23" s="71" t="s">
        <v>141</v>
      </c>
      <c r="C23" s="214" t="s">
        <v>142</v>
      </c>
      <c r="D23" s="214"/>
      <c r="E23" s="71"/>
      <c r="F23" s="72" t="s">
        <v>126</v>
      </c>
      <c r="G23" s="72">
        <v>32</v>
      </c>
      <c r="H23" s="78"/>
      <c r="I23" s="79">
        <f t="shared" si="0"/>
        <v>32</v>
      </c>
      <c r="J23" s="72">
        <v>14.01</v>
      </c>
      <c r="K23" s="81">
        <f t="shared" si="1"/>
        <v>17.6526</v>
      </c>
      <c r="L23" s="80">
        <f t="shared" si="2"/>
        <v>564.8832</v>
      </c>
    </row>
    <row r="24" spans="1:12" ht="12.75">
      <c r="A24" s="69" t="s">
        <v>143</v>
      </c>
      <c r="B24" s="71" t="s">
        <v>141</v>
      </c>
      <c r="C24" s="214" t="s">
        <v>144</v>
      </c>
      <c r="D24" s="214"/>
      <c r="E24" s="71"/>
      <c r="F24" s="72" t="s">
        <v>126</v>
      </c>
      <c r="G24" s="72">
        <v>27</v>
      </c>
      <c r="H24" s="78"/>
      <c r="I24" s="79">
        <f t="shared" si="0"/>
        <v>27</v>
      </c>
      <c r="J24" s="72">
        <v>17.42</v>
      </c>
      <c r="K24" s="81">
        <f t="shared" si="1"/>
        <v>21.9492</v>
      </c>
      <c r="L24" s="80">
        <f t="shared" si="2"/>
        <v>592.6284</v>
      </c>
    </row>
    <row r="25" spans="1:12" ht="12.75">
      <c r="A25" s="69" t="s">
        <v>145</v>
      </c>
      <c r="B25" s="71" t="s">
        <v>146</v>
      </c>
      <c r="C25" s="214" t="s">
        <v>147</v>
      </c>
      <c r="D25" s="214"/>
      <c r="E25" s="71"/>
      <c r="F25" s="72" t="s">
        <v>126</v>
      </c>
      <c r="G25" s="72">
        <v>13</v>
      </c>
      <c r="H25" s="78"/>
      <c r="I25" s="79">
        <f t="shared" si="0"/>
        <v>13</v>
      </c>
      <c r="J25" s="72">
        <v>53.79</v>
      </c>
      <c r="K25" s="81">
        <f t="shared" si="1"/>
        <v>67.7754</v>
      </c>
      <c r="L25" s="80">
        <f t="shared" si="2"/>
        <v>881.0802000000001</v>
      </c>
    </row>
    <row r="26" spans="1:15" ht="12.75">
      <c r="A26" s="69" t="s">
        <v>148</v>
      </c>
      <c r="B26" s="71" t="s">
        <v>149</v>
      </c>
      <c r="C26" s="214" t="s">
        <v>150</v>
      </c>
      <c r="D26" s="214"/>
      <c r="E26" s="71"/>
      <c r="F26" s="72" t="s">
        <v>23</v>
      </c>
      <c r="G26" s="72">
        <v>538.56</v>
      </c>
      <c r="H26" s="78">
        <f>60+478.56</f>
        <v>538.56</v>
      </c>
      <c r="I26" s="79">
        <f t="shared" si="0"/>
        <v>0</v>
      </c>
      <c r="J26" s="72">
        <v>13.95</v>
      </c>
      <c r="K26" s="81">
        <f t="shared" si="1"/>
        <v>17.576999999999998</v>
      </c>
      <c r="L26" s="80">
        <f t="shared" si="2"/>
        <v>9466.269119999997</v>
      </c>
      <c r="M26" s="94">
        <f>H26*K26</f>
        <v>9466.269119999997</v>
      </c>
      <c r="N26" s="52">
        <f>SUM(L21:L26)</f>
        <v>33379.95011399999</v>
      </c>
      <c r="O26" s="93">
        <f>M26/N26</f>
        <v>0.28359146995937895</v>
      </c>
    </row>
    <row r="27" spans="1:12" ht="12.75">
      <c r="A27" s="69"/>
      <c r="B27" s="71"/>
      <c r="C27" s="214"/>
      <c r="D27" s="214"/>
      <c r="E27" s="71"/>
      <c r="F27" s="72"/>
      <c r="G27" s="72"/>
      <c r="H27" s="78"/>
      <c r="I27" s="79">
        <f t="shared" si="0"/>
        <v>0</v>
      </c>
      <c r="J27" s="72"/>
      <c r="K27" s="81"/>
      <c r="L27" s="80"/>
    </row>
    <row r="28" spans="1:12" s="100" customFormat="1" ht="12.75">
      <c r="A28" s="95">
        <v>4</v>
      </c>
      <c r="B28" s="96"/>
      <c r="C28" s="242" t="s">
        <v>151</v>
      </c>
      <c r="D28" s="242"/>
      <c r="E28" s="96"/>
      <c r="F28" s="97"/>
      <c r="G28" s="97"/>
      <c r="H28" s="97"/>
      <c r="I28" s="97">
        <f t="shared" si="0"/>
        <v>0</v>
      </c>
      <c r="J28" s="97"/>
      <c r="K28" s="98"/>
      <c r="L28" s="99"/>
    </row>
    <row r="29" spans="1:12" ht="12.75">
      <c r="A29" s="69" t="s">
        <v>81</v>
      </c>
      <c r="B29" s="71"/>
      <c r="C29" s="214" t="s">
        <v>152</v>
      </c>
      <c r="D29" s="214"/>
      <c r="E29" s="71"/>
      <c r="F29" s="72"/>
      <c r="G29" s="72"/>
      <c r="H29" s="78"/>
      <c r="I29" s="79">
        <f t="shared" si="0"/>
        <v>0</v>
      </c>
      <c r="J29" s="72"/>
      <c r="K29" s="81"/>
      <c r="L29" s="80"/>
    </row>
    <row r="30" spans="1:13" ht="29.25" customHeight="1">
      <c r="A30" s="69" t="s">
        <v>37</v>
      </c>
      <c r="B30" s="71" t="s">
        <v>153</v>
      </c>
      <c r="C30" s="217" t="s">
        <v>154</v>
      </c>
      <c r="D30" s="217"/>
      <c r="E30" s="71"/>
      <c r="F30" s="72" t="s">
        <v>126</v>
      </c>
      <c r="G30" s="72">
        <v>1</v>
      </c>
      <c r="H30" s="78">
        <f>1</f>
        <v>1</v>
      </c>
      <c r="I30" s="79">
        <f t="shared" si="0"/>
        <v>0</v>
      </c>
      <c r="J30" s="72">
        <v>19.32</v>
      </c>
      <c r="K30" s="81">
        <f t="shared" si="1"/>
        <v>24.3432</v>
      </c>
      <c r="L30" s="80">
        <f t="shared" si="2"/>
        <v>24.3432</v>
      </c>
      <c r="M30" s="94">
        <f>H30*K30</f>
        <v>24.3432</v>
      </c>
    </row>
    <row r="31" spans="1:13" ht="15" customHeight="1">
      <c r="A31" s="69" t="s">
        <v>38</v>
      </c>
      <c r="B31" s="71" t="s">
        <v>155</v>
      </c>
      <c r="C31" s="217" t="s">
        <v>156</v>
      </c>
      <c r="D31" s="217"/>
      <c r="E31" s="71"/>
      <c r="F31" s="72" t="s">
        <v>126</v>
      </c>
      <c r="G31" s="72">
        <v>1</v>
      </c>
      <c r="H31" s="78">
        <f>1</f>
        <v>1</v>
      </c>
      <c r="I31" s="79">
        <f t="shared" si="0"/>
        <v>0</v>
      </c>
      <c r="J31" s="72">
        <v>8121.89</v>
      </c>
      <c r="K31" s="81">
        <f t="shared" si="1"/>
        <v>10233.581400000001</v>
      </c>
      <c r="L31" s="80">
        <f t="shared" si="2"/>
        <v>10233.581400000001</v>
      </c>
      <c r="M31" s="94">
        <f aca="true" t="shared" si="3" ref="M31:M40">H31*K31</f>
        <v>10233.581400000001</v>
      </c>
    </row>
    <row r="32" spans="1:13" ht="12.75">
      <c r="A32" s="69" t="s">
        <v>39</v>
      </c>
      <c r="B32" s="71" t="s">
        <v>157</v>
      </c>
      <c r="C32" s="212" t="s">
        <v>158</v>
      </c>
      <c r="D32" s="212"/>
      <c r="E32" s="71"/>
      <c r="F32" s="72" t="s">
        <v>126</v>
      </c>
      <c r="G32" s="72">
        <v>4</v>
      </c>
      <c r="H32" s="78">
        <f>4</f>
        <v>4</v>
      </c>
      <c r="I32" s="79">
        <f t="shared" si="0"/>
        <v>0</v>
      </c>
      <c r="J32" s="72">
        <v>17.65</v>
      </c>
      <c r="K32" s="81">
        <f t="shared" si="1"/>
        <v>22.238999999999997</v>
      </c>
      <c r="L32" s="80">
        <f t="shared" si="2"/>
        <v>88.95599999999999</v>
      </c>
      <c r="M32" s="94">
        <f t="shared" si="3"/>
        <v>88.95599999999999</v>
      </c>
    </row>
    <row r="33" spans="1:13" ht="12.75">
      <c r="A33" s="69" t="s">
        <v>159</v>
      </c>
      <c r="B33" s="71" t="s">
        <v>160</v>
      </c>
      <c r="C33" s="212" t="s">
        <v>161</v>
      </c>
      <c r="D33" s="212"/>
      <c r="E33" s="71"/>
      <c r="F33" s="72" t="s">
        <v>126</v>
      </c>
      <c r="G33" s="72">
        <v>2</v>
      </c>
      <c r="H33" s="78">
        <f>2</f>
        <v>2</v>
      </c>
      <c r="I33" s="79">
        <f t="shared" si="0"/>
        <v>0</v>
      </c>
      <c r="J33" s="72">
        <v>46.43</v>
      </c>
      <c r="K33" s="81">
        <f t="shared" si="1"/>
        <v>58.5018</v>
      </c>
      <c r="L33" s="80">
        <f t="shared" si="2"/>
        <v>117.0036</v>
      </c>
      <c r="M33" s="94">
        <f t="shared" si="3"/>
        <v>117.0036</v>
      </c>
    </row>
    <row r="34" spans="1:13" ht="12.75">
      <c r="A34" s="69" t="s">
        <v>162</v>
      </c>
      <c r="B34" s="71" t="s">
        <v>163</v>
      </c>
      <c r="C34" s="212" t="s">
        <v>164</v>
      </c>
      <c r="D34" s="212"/>
      <c r="E34" s="71"/>
      <c r="F34" s="72" t="s">
        <v>165</v>
      </c>
      <c r="G34" s="72">
        <v>2</v>
      </c>
      <c r="H34" s="78">
        <f>2</f>
        <v>2</v>
      </c>
      <c r="I34" s="79">
        <f t="shared" si="0"/>
        <v>0</v>
      </c>
      <c r="J34" s="72">
        <v>50.73</v>
      </c>
      <c r="K34" s="81">
        <f t="shared" si="1"/>
        <v>63.919799999999995</v>
      </c>
      <c r="L34" s="80">
        <f t="shared" si="2"/>
        <v>127.83959999999999</v>
      </c>
      <c r="M34" s="94">
        <f t="shared" si="3"/>
        <v>127.83959999999999</v>
      </c>
    </row>
    <row r="35" spans="1:13" ht="12.75">
      <c r="A35" s="69" t="s">
        <v>166</v>
      </c>
      <c r="B35" s="71" t="s">
        <v>167</v>
      </c>
      <c r="C35" s="212" t="s">
        <v>168</v>
      </c>
      <c r="D35" s="212"/>
      <c r="E35" s="71"/>
      <c r="F35" s="72" t="s">
        <v>23</v>
      </c>
      <c r="G35" s="72">
        <v>42</v>
      </c>
      <c r="H35" s="78">
        <f>42</f>
        <v>42</v>
      </c>
      <c r="I35" s="79">
        <f t="shared" si="0"/>
        <v>0</v>
      </c>
      <c r="J35" s="72">
        <v>14.15</v>
      </c>
      <c r="K35" s="81">
        <f t="shared" si="1"/>
        <v>17.829</v>
      </c>
      <c r="L35" s="80">
        <f t="shared" si="2"/>
        <v>748.818</v>
      </c>
      <c r="M35" s="94">
        <f t="shared" si="3"/>
        <v>748.818</v>
      </c>
    </row>
    <row r="36" spans="1:13" ht="12.75">
      <c r="A36" s="69" t="s">
        <v>169</v>
      </c>
      <c r="B36" s="71" t="s">
        <v>170</v>
      </c>
      <c r="C36" s="212" t="s">
        <v>171</v>
      </c>
      <c r="D36" s="212"/>
      <c r="E36" s="71"/>
      <c r="F36" s="72" t="s">
        <v>23</v>
      </c>
      <c r="G36" s="72">
        <v>20</v>
      </c>
      <c r="H36" s="78">
        <f>20</f>
        <v>20</v>
      </c>
      <c r="I36" s="79">
        <f t="shared" si="0"/>
        <v>0</v>
      </c>
      <c r="J36" s="72">
        <v>10.22</v>
      </c>
      <c r="K36" s="81">
        <f t="shared" si="1"/>
        <v>12.877200000000002</v>
      </c>
      <c r="L36" s="80">
        <f t="shared" si="2"/>
        <v>257.54400000000004</v>
      </c>
      <c r="M36" s="94">
        <f t="shared" si="3"/>
        <v>257.54400000000004</v>
      </c>
    </row>
    <row r="37" spans="1:13" ht="12.75">
      <c r="A37" s="69" t="s">
        <v>172</v>
      </c>
      <c r="B37" s="71" t="s">
        <v>173</v>
      </c>
      <c r="C37" s="212" t="s">
        <v>174</v>
      </c>
      <c r="D37" s="212"/>
      <c r="E37" s="71"/>
      <c r="F37" s="72" t="s">
        <v>23</v>
      </c>
      <c r="G37" s="72">
        <v>24</v>
      </c>
      <c r="H37" s="78">
        <f>24</f>
        <v>24</v>
      </c>
      <c r="I37" s="79">
        <f t="shared" si="0"/>
        <v>0</v>
      </c>
      <c r="J37" s="72">
        <v>17.81</v>
      </c>
      <c r="K37" s="81">
        <f t="shared" si="1"/>
        <v>22.440599999999996</v>
      </c>
      <c r="L37" s="80">
        <f t="shared" si="2"/>
        <v>538.5744</v>
      </c>
      <c r="M37" s="94">
        <f t="shared" si="3"/>
        <v>538.5744</v>
      </c>
    </row>
    <row r="38" spans="1:13" ht="12.75">
      <c r="A38" s="69" t="s">
        <v>175</v>
      </c>
      <c r="B38" s="71" t="s">
        <v>176</v>
      </c>
      <c r="C38" s="212" t="s">
        <v>177</v>
      </c>
      <c r="D38" s="212"/>
      <c r="E38" s="71"/>
      <c r="F38" s="72" t="s">
        <v>23</v>
      </c>
      <c r="G38" s="72">
        <v>178.39</v>
      </c>
      <c r="H38" s="78">
        <f>178.39</f>
        <v>178.39</v>
      </c>
      <c r="I38" s="79">
        <f t="shared" si="0"/>
        <v>0</v>
      </c>
      <c r="J38" s="72">
        <v>20.42</v>
      </c>
      <c r="K38" s="81">
        <f t="shared" si="1"/>
        <v>25.729200000000002</v>
      </c>
      <c r="L38" s="80">
        <f t="shared" si="2"/>
        <v>4589.831988</v>
      </c>
      <c r="M38" s="94">
        <f t="shared" si="3"/>
        <v>4589.831988</v>
      </c>
    </row>
    <row r="39" spans="1:13" ht="12.75">
      <c r="A39" s="69" t="s">
        <v>178</v>
      </c>
      <c r="B39" s="110" t="s">
        <v>179</v>
      </c>
      <c r="C39" s="241" t="s">
        <v>180</v>
      </c>
      <c r="D39" s="212"/>
      <c r="E39" s="71"/>
      <c r="F39" s="72" t="s">
        <v>126</v>
      </c>
      <c r="G39" s="72">
        <v>1</v>
      </c>
      <c r="H39" s="78"/>
      <c r="I39" s="79">
        <f t="shared" si="0"/>
        <v>1</v>
      </c>
      <c r="J39" s="72">
        <v>884.76</v>
      </c>
      <c r="K39" s="81">
        <f t="shared" si="1"/>
        <v>1114.7975999999999</v>
      </c>
      <c r="L39" s="80">
        <f t="shared" si="2"/>
        <v>1114.7975999999999</v>
      </c>
      <c r="M39" s="94">
        <f t="shared" si="3"/>
        <v>0</v>
      </c>
    </row>
    <row r="40" spans="1:13" ht="12.75">
      <c r="A40" s="69" t="s">
        <v>181</v>
      </c>
      <c r="B40" s="71" t="s">
        <v>182</v>
      </c>
      <c r="C40" s="212" t="s">
        <v>183</v>
      </c>
      <c r="D40" s="212"/>
      <c r="E40" s="71"/>
      <c r="F40" s="72" t="s">
        <v>126</v>
      </c>
      <c r="G40" s="72">
        <v>16</v>
      </c>
      <c r="H40" s="78">
        <f>16</f>
        <v>16</v>
      </c>
      <c r="I40" s="79">
        <f t="shared" si="0"/>
        <v>0</v>
      </c>
      <c r="J40" s="72">
        <v>30.59</v>
      </c>
      <c r="K40" s="81">
        <f t="shared" si="1"/>
        <v>38.5434</v>
      </c>
      <c r="L40" s="80">
        <f t="shared" si="2"/>
        <v>616.6944</v>
      </c>
      <c r="M40" s="94">
        <f t="shared" si="3"/>
        <v>616.6944</v>
      </c>
    </row>
    <row r="41" spans="1:16" ht="12.75">
      <c r="A41" s="71"/>
      <c r="B41" s="71"/>
      <c r="C41" s="212"/>
      <c r="D41" s="212"/>
      <c r="E41" s="71"/>
      <c r="F41" s="71"/>
      <c r="G41" s="72"/>
      <c r="H41" s="78"/>
      <c r="I41" s="79">
        <f t="shared" si="0"/>
        <v>0</v>
      </c>
      <c r="J41" s="72"/>
      <c r="K41" s="81"/>
      <c r="L41" s="80"/>
      <c r="M41" s="94">
        <f>SUM(M30:M40)</f>
        <v>17343.186587999997</v>
      </c>
      <c r="N41" s="94">
        <f>SUM(L30:L40)</f>
        <v>18457.984187999995</v>
      </c>
      <c r="O41" s="93">
        <f>M41/N41</f>
        <v>0.9396035022760093</v>
      </c>
      <c r="P41" s="93">
        <f>O41/2</f>
        <v>0.46980175113800465</v>
      </c>
    </row>
    <row r="42" spans="1:15" s="100" customFormat="1" ht="12.75">
      <c r="A42" s="97">
        <v>5</v>
      </c>
      <c r="B42" s="96"/>
      <c r="C42" s="240" t="s">
        <v>184</v>
      </c>
      <c r="D42" s="240"/>
      <c r="E42" s="96"/>
      <c r="F42" s="96"/>
      <c r="G42" s="97"/>
      <c r="H42" s="97"/>
      <c r="I42" s="97">
        <f t="shared" si="0"/>
        <v>0</v>
      </c>
      <c r="J42" s="97"/>
      <c r="K42" s="98"/>
      <c r="L42" s="99"/>
      <c r="O42" s="107">
        <f>O41-0.4</f>
        <v>0.5396035022760093</v>
      </c>
    </row>
    <row r="43" spans="1:16" ht="12.75">
      <c r="A43" s="69" t="s">
        <v>185</v>
      </c>
      <c r="B43" s="71"/>
      <c r="C43" s="212" t="s">
        <v>186</v>
      </c>
      <c r="D43" s="212"/>
      <c r="E43" s="71"/>
      <c r="F43" s="71"/>
      <c r="G43" s="72"/>
      <c r="H43" s="78"/>
      <c r="I43" s="79">
        <f t="shared" si="0"/>
        <v>0</v>
      </c>
      <c r="J43" s="72"/>
      <c r="K43" s="81"/>
      <c r="L43" s="80"/>
      <c r="P43">
        <f>46.98*2</f>
        <v>93.96</v>
      </c>
    </row>
    <row r="44" spans="1:13" ht="12.75">
      <c r="A44" s="69" t="s">
        <v>187</v>
      </c>
      <c r="B44" s="71" t="s">
        <v>84</v>
      </c>
      <c r="C44" s="212" t="s">
        <v>188</v>
      </c>
      <c r="D44" s="212"/>
      <c r="E44" s="71"/>
      <c r="F44" s="72" t="s">
        <v>23</v>
      </c>
      <c r="G44" s="72">
        <v>240</v>
      </c>
      <c r="H44" s="78">
        <f>240</f>
        <v>240</v>
      </c>
      <c r="I44" s="79">
        <f t="shared" si="0"/>
        <v>0</v>
      </c>
      <c r="J44" s="72">
        <v>10.58</v>
      </c>
      <c r="K44" s="81">
        <f t="shared" si="1"/>
        <v>13.3308</v>
      </c>
      <c r="L44" s="80">
        <f t="shared" si="2"/>
        <v>3199.392</v>
      </c>
      <c r="M44" s="94">
        <f>H44*K44</f>
        <v>3199.392</v>
      </c>
    </row>
    <row r="45" spans="1:13" ht="12.75">
      <c r="A45" s="69" t="s">
        <v>189</v>
      </c>
      <c r="B45" s="71" t="s">
        <v>190</v>
      </c>
      <c r="C45" s="212" t="s">
        <v>191</v>
      </c>
      <c r="D45" s="212"/>
      <c r="E45" s="71"/>
      <c r="F45" s="72" t="s">
        <v>23</v>
      </c>
      <c r="G45" s="72">
        <v>120</v>
      </c>
      <c r="H45" s="78">
        <f>120</f>
        <v>120</v>
      </c>
      <c r="I45" s="79">
        <f t="shared" si="0"/>
        <v>0</v>
      </c>
      <c r="J45" s="72">
        <v>11.03</v>
      </c>
      <c r="K45" s="81">
        <f t="shared" si="1"/>
        <v>13.8978</v>
      </c>
      <c r="L45" s="80">
        <f t="shared" si="2"/>
        <v>1667.736</v>
      </c>
      <c r="M45" s="94">
        <f aca="true" t="shared" si="4" ref="M45:M63">H45*K45</f>
        <v>1667.736</v>
      </c>
    </row>
    <row r="46" spans="1:13" ht="12.75">
      <c r="A46" s="69" t="s">
        <v>192</v>
      </c>
      <c r="B46" s="71" t="s">
        <v>98</v>
      </c>
      <c r="C46" s="212" t="s">
        <v>193</v>
      </c>
      <c r="D46" s="212"/>
      <c r="E46" s="71"/>
      <c r="F46" s="72" t="s">
        <v>126</v>
      </c>
      <c r="G46" s="72">
        <v>1</v>
      </c>
      <c r="H46" s="78">
        <f>G46</f>
        <v>1</v>
      </c>
      <c r="I46" s="79">
        <f t="shared" si="0"/>
        <v>0</v>
      </c>
      <c r="J46" s="72">
        <v>1546.05</v>
      </c>
      <c r="K46" s="81">
        <f t="shared" si="1"/>
        <v>1948.023</v>
      </c>
      <c r="L46" s="80">
        <f t="shared" si="2"/>
        <v>1948.023</v>
      </c>
      <c r="M46" s="94">
        <f t="shared" si="4"/>
        <v>1948.023</v>
      </c>
    </row>
    <row r="47" spans="1:13" ht="12.75">
      <c r="A47" s="69" t="s">
        <v>194</v>
      </c>
      <c r="B47" s="71" t="s">
        <v>195</v>
      </c>
      <c r="C47" s="212" t="s">
        <v>196</v>
      </c>
      <c r="D47" s="212"/>
      <c r="E47" s="71"/>
      <c r="F47" s="72" t="s">
        <v>126</v>
      </c>
      <c r="G47" s="72">
        <v>1</v>
      </c>
      <c r="H47" s="78">
        <f aca="true" t="shared" si="5" ref="H47:H62">G47</f>
        <v>1</v>
      </c>
      <c r="I47" s="79">
        <f t="shared" si="0"/>
        <v>0</v>
      </c>
      <c r="J47" s="72">
        <v>161.35</v>
      </c>
      <c r="K47" s="81">
        <f t="shared" si="1"/>
        <v>203.301</v>
      </c>
      <c r="L47" s="80">
        <f t="shared" si="2"/>
        <v>203.301</v>
      </c>
      <c r="M47" s="94">
        <f t="shared" si="4"/>
        <v>203.301</v>
      </c>
    </row>
    <row r="48" spans="1:13" ht="29.25" customHeight="1">
      <c r="A48" s="69" t="s">
        <v>197</v>
      </c>
      <c r="B48" s="71" t="s">
        <v>198</v>
      </c>
      <c r="C48" s="217" t="s">
        <v>199</v>
      </c>
      <c r="D48" s="217"/>
      <c r="E48" s="71"/>
      <c r="F48" s="72" t="s">
        <v>23</v>
      </c>
      <c r="G48" s="72">
        <v>260</v>
      </c>
      <c r="H48" s="78">
        <f t="shared" si="5"/>
        <v>260</v>
      </c>
      <c r="I48" s="79">
        <f t="shared" si="0"/>
        <v>0</v>
      </c>
      <c r="J48" s="72">
        <v>8.86</v>
      </c>
      <c r="K48" s="81">
        <f t="shared" si="1"/>
        <v>11.163599999999999</v>
      </c>
      <c r="L48" s="80">
        <f t="shared" si="2"/>
        <v>2902.5359999999996</v>
      </c>
      <c r="M48" s="94">
        <f t="shared" si="4"/>
        <v>2902.5359999999996</v>
      </c>
    </row>
    <row r="49" spans="1:13" ht="29.25" customHeight="1">
      <c r="A49" s="69" t="s">
        <v>200</v>
      </c>
      <c r="B49" s="71" t="s">
        <v>201</v>
      </c>
      <c r="C49" s="217" t="s">
        <v>202</v>
      </c>
      <c r="D49" s="217"/>
      <c r="E49" s="71"/>
      <c r="F49" s="72" t="s">
        <v>23</v>
      </c>
      <c r="G49" s="72">
        <v>10</v>
      </c>
      <c r="H49" s="78">
        <f t="shared" si="5"/>
        <v>10</v>
      </c>
      <c r="I49" s="79">
        <f t="shared" si="0"/>
        <v>0</v>
      </c>
      <c r="J49" s="72">
        <v>6.31</v>
      </c>
      <c r="K49" s="81">
        <f t="shared" si="1"/>
        <v>7.9506</v>
      </c>
      <c r="L49" s="80">
        <f t="shared" si="2"/>
        <v>79.506</v>
      </c>
      <c r="M49" s="94">
        <f t="shared" si="4"/>
        <v>79.506</v>
      </c>
    </row>
    <row r="50" spans="1:13" ht="12.75">
      <c r="A50" s="69" t="s">
        <v>203</v>
      </c>
      <c r="B50" s="71" t="s">
        <v>204</v>
      </c>
      <c r="C50" s="212" t="s">
        <v>205</v>
      </c>
      <c r="D50" s="212"/>
      <c r="E50" s="71"/>
      <c r="F50" s="72" t="s">
        <v>23</v>
      </c>
      <c r="G50" s="82">
        <v>1100</v>
      </c>
      <c r="H50" s="78">
        <f t="shared" si="5"/>
        <v>1100</v>
      </c>
      <c r="I50" s="79">
        <f t="shared" si="0"/>
        <v>0</v>
      </c>
      <c r="J50" s="72">
        <v>3.5</v>
      </c>
      <c r="K50" s="81">
        <f t="shared" si="1"/>
        <v>4.41</v>
      </c>
      <c r="L50" s="80">
        <f t="shared" si="2"/>
        <v>4851</v>
      </c>
      <c r="M50" s="94">
        <f t="shared" si="4"/>
        <v>4851</v>
      </c>
    </row>
    <row r="51" spans="1:13" ht="12.75">
      <c r="A51" s="69" t="s">
        <v>206</v>
      </c>
      <c r="B51" s="71" t="s">
        <v>207</v>
      </c>
      <c r="C51" s="212" t="s">
        <v>208</v>
      </c>
      <c r="D51" s="212"/>
      <c r="E51" s="71"/>
      <c r="F51" s="72" t="s">
        <v>23</v>
      </c>
      <c r="G51" s="72">
        <v>550</v>
      </c>
      <c r="H51" s="78">
        <f t="shared" si="5"/>
        <v>550</v>
      </c>
      <c r="I51" s="79">
        <f t="shared" si="0"/>
        <v>0</v>
      </c>
      <c r="J51" s="72">
        <v>3.5</v>
      </c>
      <c r="K51" s="81">
        <f t="shared" si="1"/>
        <v>4.41</v>
      </c>
      <c r="L51" s="80">
        <f t="shared" si="2"/>
        <v>2425.5</v>
      </c>
      <c r="M51" s="94">
        <f t="shared" si="4"/>
        <v>2425.5</v>
      </c>
    </row>
    <row r="52" spans="1:13" ht="12.75">
      <c r="A52" s="69" t="s">
        <v>209</v>
      </c>
      <c r="B52" s="71" t="s">
        <v>210</v>
      </c>
      <c r="C52" s="212" t="s">
        <v>211</v>
      </c>
      <c r="D52" s="212"/>
      <c r="E52" s="71"/>
      <c r="F52" s="72" t="s">
        <v>23</v>
      </c>
      <c r="G52" s="72">
        <v>550</v>
      </c>
      <c r="H52" s="78">
        <f t="shared" si="5"/>
        <v>550</v>
      </c>
      <c r="I52" s="79">
        <f t="shared" si="0"/>
        <v>0</v>
      </c>
      <c r="J52" s="72">
        <v>3</v>
      </c>
      <c r="K52" s="81">
        <f t="shared" si="1"/>
        <v>3.7800000000000002</v>
      </c>
      <c r="L52" s="80">
        <f t="shared" si="2"/>
        <v>2079</v>
      </c>
      <c r="M52" s="94">
        <f t="shared" si="4"/>
        <v>2079</v>
      </c>
    </row>
    <row r="53" spans="1:13" ht="12.75">
      <c r="A53" s="69" t="s">
        <v>212</v>
      </c>
      <c r="B53" s="71" t="s">
        <v>213</v>
      </c>
      <c r="C53" s="212" t="s">
        <v>214</v>
      </c>
      <c r="D53" s="212"/>
      <c r="E53" s="71"/>
      <c r="F53" s="72" t="s">
        <v>23</v>
      </c>
      <c r="G53" s="72">
        <v>300</v>
      </c>
      <c r="H53" s="78">
        <f t="shared" si="5"/>
        <v>300</v>
      </c>
      <c r="I53" s="79">
        <f t="shared" si="0"/>
        <v>0</v>
      </c>
      <c r="J53" s="72">
        <v>3.5</v>
      </c>
      <c r="K53" s="81">
        <f t="shared" si="1"/>
        <v>4.41</v>
      </c>
      <c r="L53" s="80">
        <f t="shared" si="2"/>
        <v>1323</v>
      </c>
      <c r="M53" s="94">
        <f t="shared" si="4"/>
        <v>1323</v>
      </c>
    </row>
    <row r="54" spans="1:13" ht="12.75">
      <c r="A54" s="69" t="s">
        <v>215</v>
      </c>
      <c r="B54" s="71" t="s">
        <v>216</v>
      </c>
      <c r="C54" s="212" t="s">
        <v>217</v>
      </c>
      <c r="D54" s="212"/>
      <c r="E54" s="71"/>
      <c r="F54" s="72" t="s">
        <v>126</v>
      </c>
      <c r="G54" s="72">
        <v>2</v>
      </c>
      <c r="H54" s="78">
        <f t="shared" si="5"/>
        <v>2</v>
      </c>
      <c r="I54" s="79">
        <f t="shared" si="0"/>
        <v>0</v>
      </c>
      <c r="J54" s="72">
        <v>60</v>
      </c>
      <c r="K54" s="81">
        <f t="shared" si="1"/>
        <v>75.6</v>
      </c>
      <c r="L54" s="80">
        <f t="shared" si="2"/>
        <v>151.2</v>
      </c>
      <c r="M54" s="94">
        <f t="shared" si="4"/>
        <v>151.2</v>
      </c>
    </row>
    <row r="55" spans="1:13" ht="12.75">
      <c r="A55" s="69" t="s">
        <v>218</v>
      </c>
      <c r="B55" s="71" t="s">
        <v>219</v>
      </c>
      <c r="C55" s="212" t="s">
        <v>220</v>
      </c>
      <c r="D55" s="212"/>
      <c r="E55" s="71"/>
      <c r="F55" s="72" t="s">
        <v>126</v>
      </c>
      <c r="G55" s="72">
        <v>6</v>
      </c>
      <c r="H55" s="78">
        <f t="shared" si="5"/>
        <v>6</v>
      </c>
      <c r="I55" s="79">
        <f t="shared" si="0"/>
        <v>0</v>
      </c>
      <c r="J55" s="72">
        <v>29.8</v>
      </c>
      <c r="K55" s="81">
        <f t="shared" si="1"/>
        <v>37.548</v>
      </c>
      <c r="L55" s="80">
        <f t="shared" si="2"/>
        <v>225.288</v>
      </c>
      <c r="M55" s="94">
        <f t="shared" si="4"/>
        <v>225.288</v>
      </c>
    </row>
    <row r="56" spans="1:13" ht="12.75">
      <c r="A56" s="69" t="s">
        <v>221</v>
      </c>
      <c r="B56" s="71" t="s">
        <v>222</v>
      </c>
      <c r="C56" s="212" t="s">
        <v>223</v>
      </c>
      <c r="D56" s="212"/>
      <c r="E56" s="71"/>
      <c r="F56" s="72" t="s">
        <v>126</v>
      </c>
      <c r="G56" s="72">
        <v>1</v>
      </c>
      <c r="H56" s="78">
        <f t="shared" si="5"/>
        <v>1</v>
      </c>
      <c r="I56" s="79">
        <f t="shared" si="0"/>
        <v>0</v>
      </c>
      <c r="J56" s="72">
        <v>29.8</v>
      </c>
      <c r="K56" s="81">
        <f t="shared" si="1"/>
        <v>37.548</v>
      </c>
      <c r="L56" s="80">
        <f t="shared" si="2"/>
        <v>37.548</v>
      </c>
      <c r="M56" s="94">
        <f t="shared" si="4"/>
        <v>37.548</v>
      </c>
    </row>
    <row r="57" spans="1:13" ht="12.75">
      <c r="A57" s="69" t="s">
        <v>224</v>
      </c>
      <c r="B57" s="71" t="s">
        <v>225</v>
      </c>
      <c r="C57" s="212" t="s">
        <v>226</v>
      </c>
      <c r="D57" s="212"/>
      <c r="E57" s="71"/>
      <c r="F57" s="72" t="s">
        <v>126</v>
      </c>
      <c r="G57" s="72">
        <v>2</v>
      </c>
      <c r="H57" s="78">
        <f t="shared" si="5"/>
        <v>2</v>
      </c>
      <c r="I57" s="79">
        <f t="shared" si="0"/>
        <v>0</v>
      </c>
      <c r="J57" s="72">
        <v>15</v>
      </c>
      <c r="K57" s="81">
        <f t="shared" si="1"/>
        <v>18.9</v>
      </c>
      <c r="L57" s="80">
        <f t="shared" si="2"/>
        <v>37.8</v>
      </c>
      <c r="M57" s="94">
        <f t="shared" si="4"/>
        <v>37.8</v>
      </c>
    </row>
    <row r="58" spans="1:13" ht="12.75">
      <c r="A58" s="69" t="s">
        <v>227</v>
      </c>
      <c r="B58" s="71" t="s">
        <v>228</v>
      </c>
      <c r="C58" s="212" t="s">
        <v>229</v>
      </c>
      <c r="D58" s="212"/>
      <c r="E58" s="71"/>
      <c r="F58" s="72" t="s">
        <v>126</v>
      </c>
      <c r="G58" s="72">
        <v>6</v>
      </c>
      <c r="H58" s="78">
        <f t="shared" si="5"/>
        <v>6</v>
      </c>
      <c r="I58" s="79">
        <f t="shared" si="0"/>
        <v>0</v>
      </c>
      <c r="J58" s="72">
        <v>56.69</v>
      </c>
      <c r="K58" s="81">
        <f t="shared" si="1"/>
        <v>71.4294</v>
      </c>
      <c r="L58" s="80">
        <f t="shared" si="2"/>
        <v>428.57640000000004</v>
      </c>
      <c r="M58" s="94">
        <f t="shared" si="4"/>
        <v>428.57640000000004</v>
      </c>
    </row>
    <row r="59" spans="1:13" ht="12.75">
      <c r="A59" s="69" t="s">
        <v>230</v>
      </c>
      <c r="B59" s="71" t="s">
        <v>231</v>
      </c>
      <c r="C59" s="212" t="s">
        <v>232</v>
      </c>
      <c r="D59" s="212"/>
      <c r="E59" s="71"/>
      <c r="F59" s="72" t="s">
        <v>126</v>
      </c>
      <c r="G59" s="72">
        <v>10</v>
      </c>
      <c r="H59" s="78">
        <f t="shared" si="5"/>
        <v>10</v>
      </c>
      <c r="I59" s="79">
        <f t="shared" si="0"/>
        <v>0</v>
      </c>
      <c r="J59" s="72">
        <v>6</v>
      </c>
      <c r="K59" s="81">
        <f t="shared" si="1"/>
        <v>7.5600000000000005</v>
      </c>
      <c r="L59" s="80">
        <f t="shared" si="2"/>
        <v>75.60000000000001</v>
      </c>
      <c r="M59" s="94">
        <f t="shared" si="4"/>
        <v>75.60000000000001</v>
      </c>
    </row>
    <row r="60" spans="1:13" ht="12.75">
      <c r="A60" s="69" t="s">
        <v>233</v>
      </c>
      <c r="B60" s="71" t="s">
        <v>234</v>
      </c>
      <c r="C60" s="212" t="s">
        <v>235</v>
      </c>
      <c r="D60" s="212"/>
      <c r="E60" s="71"/>
      <c r="F60" s="72" t="s">
        <v>126</v>
      </c>
      <c r="G60" s="72">
        <v>8</v>
      </c>
      <c r="H60" s="78">
        <f t="shared" si="5"/>
        <v>8</v>
      </c>
      <c r="I60" s="79">
        <f t="shared" si="0"/>
        <v>0</v>
      </c>
      <c r="J60" s="72">
        <v>6.1</v>
      </c>
      <c r="K60" s="81">
        <f t="shared" si="1"/>
        <v>7.686</v>
      </c>
      <c r="L60" s="80">
        <f t="shared" si="2"/>
        <v>61.488</v>
      </c>
      <c r="M60" s="94">
        <f t="shared" si="4"/>
        <v>61.488</v>
      </c>
    </row>
    <row r="61" spans="1:13" ht="12.75">
      <c r="A61" s="69" t="s">
        <v>236</v>
      </c>
      <c r="B61" s="71" t="s">
        <v>237</v>
      </c>
      <c r="C61" s="212" t="s">
        <v>238</v>
      </c>
      <c r="D61" s="212"/>
      <c r="E61" s="71"/>
      <c r="F61" s="72" t="s">
        <v>126</v>
      </c>
      <c r="G61" s="72">
        <v>26</v>
      </c>
      <c r="H61" s="78">
        <f t="shared" si="5"/>
        <v>26</v>
      </c>
      <c r="I61" s="79">
        <f t="shared" si="0"/>
        <v>0</v>
      </c>
      <c r="J61" s="72">
        <v>11.45</v>
      </c>
      <c r="K61" s="81">
        <f t="shared" si="1"/>
        <v>14.427</v>
      </c>
      <c r="L61" s="80">
        <f t="shared" si="2"/>
        <v>375.102</v>
      </c>
      <c r="M61" s="94">
        <f t="shared" si="4"/>
        <v>375.102</v>
      </c>
    </row>
    <row r="62" spans="1:13" ht="12.75">
      <c r="A62" s="69" t="s">
        <v>239</v>
      </c>
      <c r="B62" s="71" t="s">
        <v>100</v>
      </c>
      <c r="C62" s="212" t="s">
        <v>240</v>
      </c>
      <c r="D62" s="212"/>
      <c r="E62" s="71"/>
      <c r="F62" s="72" t="s">
        <v>126</v>
      </c>
      <c r="G62" s="72">
        <v>6</v>
      </c>
      <c r="H62" s="78">
        <f t="shared" si="5"/>
        <v>6</v>
      </c>
      <c r="I62" s="79">
        <f t="shared" si="0"/>
        <v>0</v>
      </c>
      <c r="J62" s="72">
        <v>40.9</v>
      </c>
      <c r="K62" s="81">
        <f t="shared" si="1"/>
        <v>51.534</v>
      </c>
      <c r="L62" s="80">
        <f t="shared" si="2"/>
        <v>309.204</v>
      </c>
      <c r="M62" s="94">
        <f t="shared" si="4"/>
        <v>309.204</v>
      </c>
    </row>
    <row r="63" spans="1:13" ht="30.75" customHeight="1">
      <c r="A63" s="69" t="s">
        <v>241</v>
      </c>
      <c r="B63" s="71" t="s">
        <v>242</v>
      </c>
      <c r="C63" s="217" t="s">
        <v>243</v>
      </c>
      <c r="D63" s="217"/>
      <c r="E63" s="71"/>
      <c r="F63" s="72" t="s">
        <v>126</v>
      </c>
      <c r="G63" s="72">
        <v>26</v>
      </c>
      <c r="H63" s="78"/>
      <c r="I63" s="79">
        <f t="shared" si="0"/>
        <v>26</v>
      </c>
      <c r="J63" s="72">
        <v>1389.11</v>
      </c>
      <c r="K63" s="81">
        <f t="shared" si="1"/>
        <v>1750.2785999999999</v>
      </c>
      <c r="L63" s="80">
        <f t="shared" si="2"/>
        <v>45507.243599999994</v>
      </c>
      <c r="M63" s="94">
        <f t="shared" si="4"/>
        <v>0</v>
      </c>
    </row>
    <row r="64" spans="1:15" ht="12.75">
      <c r="A64" s="71"/>
      <c r="B64" s="71"/>
      <c r="C64" s="212"/>
      <c r="D64" s="212"/>
      <c r="E64" s="71"/>
      <c r="F64" s="72"/>
      <c r="G64" s="72"/>
      <c r="H64" s="78"/>
      <c r="I64" s="79">
        <f t="shared" si="0"/>
        <v>0</v>
      </c>
      <c r="J64" s="72"/>
      <c r="K64" s="81"/>
      <c r="L64" s="80"/>
      <c r="M64" s="94">
        <f>SUM(M44:M63)</f>
        <v>22380.8004</v>
      </c>
      <c r="N64" s="94">
        <f>SUM(L44:L63)</f>
        <v>67888.044</v>
      </c>
      <c r="O64" s="93">
        <f>M64/N64</f>
        <v>0.32967219382546953</v>
      </c>
    </row>
    <row r="65" spans="1:12" s="106" customFormat="1" ht="12.75">
      <c r="A65" s="102">
        <v>6</v>
      </c>
      <c r="B65" s="103"/>
      <c r="C65" s="239" t="s">
        <v>244</v>
      </c>
      <c r="D65" s="239"/>
      <c r="E65" s="103"/>
      <c r="F65" s="102"/>
      <c r="G65" s="102"/>
      <c r="H65" s="102"/>
      <c r="I65" s="102">
        <f t="shared" si="0"/>
        <v>0</v>
      </c>
      <c r="J65" s="102"/>
      <c r="K65" s="104"/>
      <c r="L65" s="105"/>
    </row>
    <row r="66" spans="1:12" ht="12.75">
      <c r="A66" s="69" t="s">
        <v>245</v>
      </c>
      <c r="B66" s="71"/>
      <c r="C66" s="212" t="s">
        <v>246</v>
      </c>
      <c r="D66" s="212"/>
      <c r="E66" s="71"/>
      <c r="F66" s="72"/>
      <c r="G66" s="72">
        <f>505.27</f>
        <v>505.27</v>
      </c>
      <c r="H66" s="78"/>
      <c r="I66" s="79">
        <f t="shared" si="0"/>
        <v>505.27</v>
      </c>
      <c r="J66" s="72"/>
      <c r="K66" s="81"/>
      <c r="L66" s="80"/>
    </row>
    <row r="67" spans="1:13" ht="30" customHeight="1">
      <c r="A67" s="69" t="s">
        <v>247</v>
      </c>
      <c r="B67" s="71" t="s">
        <v>47</v>
      </c>
      <c r="C67" s="217" t="s">
        <v>248</v>
      </c>
      <c r="D67" s="217"/>
      <c r="E67" s="71"/>
      <c r="F67" s="72" t="s">
        <v>122</v>
      </c>
      <c r="G67" s="82">
        <v>1099.76</v>
      </c>
      <c r="H67" s="83">
        <f>934.8+164.96</f>
        <v>1099.76</v>
      </c>
      <c r="I67" s="79">
        <f t="shared" si="0"/>
        <v>0</v>
      </c>
      <c r="J67" s="72">
        <v>37.25</v>
      </c>
      <c r="K67" s="81">
        <f t="shared" si="1"/>
        <v>46.935</v>
      </c>
      <c r="L67" s="80">
        <f t="shared" si="2"/>
        <v>51617.2356</v>
      </c>
      <c r="M67" s="94">
        <f>H67*K67</f>
        <v>51617.2356</v>
      </c>
    </row>
    <row r="68" spans="1:13" ht="30.75" customHeight="1">
      <c r="A68" s="69" t="s">
        <v>249</v>
      </c>
      <c r="B68" s="71" t="s">
        <v>250</v>
      </c>
      <c r="C68" s="217" t="s">
        <v>251</v>
      </c>
      <c r="D68" s="217"/>
      <c r="E68" s="71"/>
      <c r="F68" s="72" t="s">
        <v>122</v>
      </c>
      <c r="G68" s="72">
        <v>999.18</v>
      </c>
      <c r="H68" s="78">
        <v>505.27</v>
      </c>
      <c r="I68" s="79">
        <f t="shared" si="0"/>
        <v>493.90999999999997</v>
      </c>
      <c r="J68" s="72">
        <v>58.15</v>
      </c>
      <c r="K68" s="81">
        <f t="shared" si="1"/>
        <v>73.269</v>
      </c>
      <c r="L68" s="80">
        <f t="shared" si="2"/>
        <v>73208.91942</v>
      </c>
      <c r="M68" s="94">
        <f>H68*K68</f>
        <v>37020.62763</v>
      </c>
    </row>
    <row r="69" spans="1:15" ht="12.75">
      <c r="A69" s="71"/>
      <c r="B69" s="71"/>
      <c r="C69" s="215"/>
      <c r="D69" s="215"/>
      <c r="E69" s="71"/>
      <c r="F69" s="72"/>
      <c r="G69" s="72"/>
      <c r="H69" s="78"/>
      <c r="I69" s="79">
        <f t="shared" si="0"/>
        <v>0</v>
      </c>
      <c r="J69" s="72"/>
      <c r="K69" s="81"/>
      <c r="L69" s="80"/>
      <c r="M69" s="94">
        <f>SUM(M67:M68)</f>
        <v>88637.86323</v>
      </c>
      <c r="N69" s="94">
        <f>SUM(L67:L68)</f>
        <v>124826.15502</v>
      </c>
      <c r="O69" s="93">
        <f>M69/N69</f>
        <v>0.7100904711500422</v>
      </c>
    </row>
    <row r="70" spans="1:12" s="106" customFormat="1" ht="12.75">
      <c r="A70" s="102">
        <v>7</v>
      </c>
      <c r="B70" s="103"/>
      <c r="C70" s="239" t="s">
        <v>52</v>
      </c>
      <c r="D70" s="239"/>
      <c r="E70" s="103"/>
      <c r="F70" s="102"/>
      <c r="G70" s="102"/>
      <c r="H70" s="102"/>
      <c r="I70" s="102">
        <f t="shared" si="0"/>
        <v>0</v>
      </c>
      <c r="J70" s="102"/>
      <c r="K70" s="104"/>
      <c r="L70" s="105"/>
    </row>
    <row r="71" spans="1:12" ht="12.75">
      <c r="A71" s="69" t="s">
        <v>252</v>
      </c>
      <c r="B71" s="71"/>
      <c r="C71" s="212" t="s">
        <v>253</v>
      </c>
      <c r="D71" s="212"/>
      <c r="E71" s="71"/>
      <c r="F71" s="72"/>
      <c r="G71" s="72"/>
      <c r="H71" s="78"/>
      <c r="I71" s="79">
        <f t="shared" si="0"/>
        <v>0</v>
      </c>
      <c r="J71" s="72"/>
      <c r="K71" s="81"/>
      <c r="L71" s="80"/>
    </row>
    <row r="72" spans="1:13" ht="12.75">
      <c r="A72" s="69" t="s">
        <v>254</v>
      </c>
      <c r="B72" s="71" t="s">
        <v>255</v>
      </c>
      <c r="C72" s="212" t="s">
        <v>256</v>
      </c>
      <c r="D72" s="212"/>
      <c r="E72" s="71"/>
      <c r="F72" s="72" t="s">
        <v>122</v>
      </c>
      <c r="G72" s="72">
        <v>196.37</v>
      </c>
      <c r="H72" s="78">
        <f>196.37</f>
        <v>196.37</v>
      </c>
      <c r="I72" s="79">
        <f t="shared" si="0"/>
        <v>0</v>
      </c>
      <c r="J72" s="72">
        <v>30.32</v>
      </c>
      <c r="K72" s="81">
        <f t="shared" si="1"/>
        <v>38.2032</v>
      </c>
      <c r="L72" s="80">
        <f t="shared" si="2"/>
        <v>7501.962384</v>
      </c>
      <c r="M72" s="94">
        <f>H72*K72</f>
        <v>7501.962384</v>
      </c>
    </row>
    <row r="73" spans="1:13" ht="30.75" customHeight="1">
      <c r="A73" s="69" t="s">
        <v>257</v>
      </c>
      <c r="B73" s="71" t="s">
        <v>258</v>
      </c>
      <c r="C73" s="217" t="s">
        <v>259</v>
      </c>
      <c r="D73" s="217"/>
      <c r="E73" s="71"/>
      <c r="F73" s="72" t="s">
        <v>260</v>
      </c>
      <c r="G73" s="72">
        <v>14.55</v>
      </c>
      <c r="H73" s="78">
        <f>14.55</f>
        <v>14.55</v>
      </c>
      <c r="I73" s="79">
        <f t="shared" si="0"/>
        <v>0</v>
      </c>
      <c r="J73" s="72">
        <v>1130</v>
      </c>
      <c r="K73" s="81">
        <f t="shared" si="1"/>
        <v>1423.8</v>
      </c>
      <c r="L73" s="80">
        <f t="shared" si="2"/>
        <v>20716.29</v>
      </c>
      <c r="M73" s="94">
        <f aca="true" t="shared" si="6" ref="M73:M81">H73*K73</f>
        <v>20716.29</v>
      </c>
    </row>
    <row r="74" spans="1:13" ht="12.75">
      <c r="A74" s="69" t="s">
        <v>261</v>
      </c>
      <c r="B74" s="71" t="s">
        <v>262</v>
      </c>
      <c r="C74" s="212" t="s">
        <v>263</v>
      </c>
      <c r="D74" s="212"/>
      <c r="E74" s="71"/>
      <c r="F74" s="72" t="s">
        <v>260</v>
      </c>
      <c r="G74" s="72">
        <v>766.52</v>
      </c>
      <c r="H74" s="78">
        <f>766.52</f>
        <v>766.52</v>
      </c>
      <c r="I74" s="79">
        <f t="shared" si="0"/>
        <v>0</v>
      </c>
      <c r="J74" s="72">
        <v>25</v>
      </c>
      <c r="K74" s="81">
        <f t="shared" si="1"/>
        <v>31.5</v>
      </c>
      <c r="L74" s="80">
        <f t="shared" si="2"/>
        <v>24145.38</v>
      </c>
      <c r="M74" s="94">
        <f t="shared" si="6"/>
        <v>24145.38</v>
      </c>
    </row>
    <row r="75" spans="1:13" ht="12.75">
      <c r="A75" s="69" t="s">
        <v>264</v>
      </c>
      <c r="B75" s="71" t="s">
        <v>265</v>
      </c>
      <c r="C75" s="212" t="s">
        <v>266</v>
      </c>
      <c r="D75" s="212"/>
      <c r="E75" s="71"/>
      <c r="F75" s="72" t="s">
        <v>122</v>
      </c>
      <c r="G75" s="72">
        <v>232.74</v>
      </c>
      <c r="H75" s="78">
        <v>232.74</v>
      </c>
      <c r="I75" s="79">
        <f aca="true" t="shared" si="7" ref="I75:I81">G75-H75</f>
        <v>0</v>
      </c>
      <c r="J75" s="72">
        <v>3.59</v>
      </c>
      <c r="K75" s="81">
        <f aca="true" t="shared" si="8" ref="K75:K81">(J75*0.26)+J75</f>
        <v>4.5234</v>
      </c>
      <c r="L75" s="80">
        <f aca="true" t="shared" si="9" ref="L75:L81">G75*K75</f>
        <v>1052.776116</v>
      </c>
      <c r="M75" s="94">
        <f t="shared" si="6"/>
        <v>1052.776116</v>
      </c>
    </row>
    <row r="76" spans="1:13" ht="30.75" customHeight="1">
      <c r="A76" s="69" t="s">
        <v>267</v>
      </c>
      <c r="B76" s="71" t="s">
        <v>268</v>
      </c>
      <c r="C76" s="217" t="s">
        <v>269</v>
      </c>
      <c r="D76" s="217"/>
      <c r="E76" s="71"/>
      <c r="F76" s="72" t="s">
        <v>122</v>
      </c>
      <c r="G76" s="72">
        <v>232.74</v>
      </c>
      <c r="H76" s="78">
        <v>232.74</v>
      </c>
      <c r="I76" s="79">
        <f t="shared" si="7"/>
        <v>0</v>
      </c>
      <c r="J76" s="72">
        <v>21.12</v>
      </c>
      <c r="K76" s="81">
        <f t="shared" si="8"/>
        <v>26.6112</v>
      </c>
      <c r="L76" s="80">
        <f t="shared" si="9"/>
        <v>6193.490688</v>
      </c>
      <c r="M76" s="94">
        <f t="shared" si="6"/>
        <v>6193.490688</v>
      </c>
    </row>
    <row r="77" spans="1:13" ht="12.75">
      <c r="A77" s="69" t="s">
        <v>270</v>
      </c>
      <c r="B77" s="71" t="s">
        <v>53</v>
      </c>
      <c r="C77" s="214" t="s">
        <v>54</v>
      </c>
      <c r="D77" s="214"/>
      <c r="E77" s="71"/>
      <c r="F77" s="72" t="s">
        <v>122</v>
      </c>
      <c r="G77" s="72">
        <v>232.74</v>
      </c>
      <c r="H77" s="78">
        <f>G77</f>
        <v>232.74</v>
      </c>
      <c r="I77" s="79">
        <f t="shared" si="7"/>
        <v>0</v>
      </c>
      <c r="J77" s="72">
        <v>3.3</v>
      </c>
      <c r="K77" s="81">
        <f t="shared" si="8"/>
        <v>4.1579999999999995</v>
      </c>
      <c r="L77" s="80">
        <f t="shared" si="9"/>
        <v>967.7329199999999</v>
      </c>
      <c r="M77" s="94">
        <f t="shared" si="6"/>
        <v>967.7329199999999</v>
      </c>
    </row>
    <row r="78" spans="1:13" ht="33" customHeight="1">
      <c r="A78" s="69" t="s">
        <v>271</v>
      </c>
      <c r="B78" s="71" t="s">
        <v>55</v>
      </c>
      <c r="C78" s="217" t="s">
        <v>272</v>
      </c>
      <c r="D78" s="217"/>
      <c r="E78" s="71"/>
      <c r="F78" s="72" t="s">
        <v>122</v>
      </c>
      <c r="G78" s="72">
        <v>232.74</v>
      </c>
      <c r="H78" s="78">
        <f>G78</f>
        <v>232.74</v>
      </c>
      <c r="I78" s="79">
        <f t="shared" si="7"/>
        <v>0</v>
      </c>
      <c r="J78" s="72">
        <v>9.35</v>
      </c>
      <c r="K78" s="81">
        <f t="shared" si="8"/>
        <v>11.780999999999999</v>
      </c>
      <c r="L78" s="80">
        <f t="shared" si="9"/>
        <v>2741.90994</v>
      </c>
      <c r="M78" s="94">
        <f t="shared" si="6"/>
        <v>2741.90994</v>
      </c>
    </row>
    <row r="79" spans="1:13" ht="30.75" customHeight="1">
      <c r="A79" s="69" t="s">
        <v>273</v>
      </c>
      <c r="B79" s="71" t="s">
        <v>274</v>
      </c>
      <c r="C79" s="217" t="s">
        <v>275</v>
      </c>
      <c r="D79" s="217"/>
      <c r="E79" s="71"/>
      <c r="F79" s="72" t="s">
        <v>122</v>
      </c>
      <c r="G79" s="72">
        <v>564.37</v>
      </c>
      <c r="H79" s="78">
        <f>G79</f>
        <v>564.37</v>
      </c>
      <c r="I79" s="79">
        <f t="shared" si="7"/>
        <v>0</v>
      </c>
      <c r="J79" s="72">
        <v>29.75</v>
      </c>
      <c r="K79" s="81">
        <f t="shared" si="8"/>
        <v>37.485</v>
      </c>
      <c r="L79" s="80">
        <f t="shared" si="9"/>
        <v>21155.40945</v>
      </c>
      <c r="M79" s="94">
        <f t="shared" si="6"/>
        <v>21155.40945</v>
      </c>
    </row>
    <row r="80" spans="1:13" ht="30" customHeight="1">
      <c r="A80" s="69" t="s">
        <v>276</v>
      </c>
      <c r="B80" s="71" t="s">
        <v>277</v>
      </c>
      <c r="C80" s="217" t="s">
        <v>278</v>
      </c>
      <c r="D80" s="217"/>
      <c r="E80" s="71"/>
      <c r="F80" s="72" t="s">
        <v>260</v>
      </c>
      <c r="G80" s="72">
        <v>6.2</v>
      </c>
      <c r="H80" s="78">
        <v>6.2</v>
      </c>
      <c r="I80" s="79">
        <f t="shared" si="7"/>
        <v>0</v>
      </c>
      <c r="J80" s="72">
        <v>1771.35</v>
      </c>
      <c r="K80" s="81">
        <f t="shared" si="8"/>
        <v>2231.901</v>
      </c>
      <c r="L80" s="80">
        <f t="shared" si="9"/>
        <v>13837.786199999999</v>
      </c>
      <c r="M80" s="94">
        <f t="shared" si="6"/>
        <v>13837.786199999999</v>
      </c>
    </row>
    <row r="81" spans="1:13" ht="30" customHeight="1">
      <c r="A81" s="69" t="s">
        <v>279</v>
      </c>
      <c r="B81" s="71" t="s">
        <v>280</v>
      </c>
      <c r="C81" s="217" t="s">
        <v>281</v>
      </c>
      <c r="D81" s="217"/>
      <c r="E81" s="71"/>
      <c r="F81" s="72" t="s">
        <v>23</v>
      </c>
      <c r="G81" s="72">
        <v>139.66</v>
      </c>
      <c r="H81" s="78">
        <f>G81</f>
        <v>139.66</v>
      </c>
      <c r="I81" s="79">
        <f t="shared" si="7"/>
        <v>0</v>
      </c>
      <c r="J81" s="72">
        <v>273.15</v>
      </c>
      <c r="K81" s="81">
        <f t="shared" si="8"/>
        <v>344.169</v>
      </c>
      <c r="L81" s="80">
        <f t="shared" si="9"/>
        <v>48066.64253999999</v>
      </c>
      <c r="M81" s="94">
        <f t="shared" si="6"/>
        <v>48066.64253999999</v>
      </c>
    </row>
    <row r="82" spans="1:12" ht="12.75">
      <c r="A82" s="71"/>
      <c r="B82" s="71"/>
      <c r="C82" s="215"/>
      <c r="D82" s="215"/>
      <c r="E82" s="71"/>
      <c r="F82" s="71"/>
      <c r="G82" s="72"/>
      <c r="H82" s="78"/>
      <c r="I82" s="79"/>
      <c r="J82" s="72"/>
      <c r="K82" s="72"/>
      <c r="L82" s="80"/>
    </row>
    <row r="83" spans="1:15" ht="14.25">
      <c r="A83" s="218" t="s">
        <v>27</v>
      </c>
      <c r="B83" s="218"/>
      <c r="C83" s="218"/>
      <c r="D83" s="218"/>
      <c r="E83" s="218"/>
      <c r="F83" s="218"/>
      <c r="G83" s="218"/>
      <c r="H83" s="218"/>
      <c r="I83" s="218"/>
      <c r="J83" s="218"/>
      <c r="K83" s="218"/>
      <c r="L83" s="84">
        <v>415578.43</v>
      </c>
      <c r="M83" s="94">
        <f>SUM(M72:M81)</f>
        <v>146379.38023799998</v>
      </c>
      <c r="N83" s="52">
        <f>SUM(L72:L81)</f>
        <v>146379.38023799998</v>
      </c>
      <c r="O83" s="93">
        <f>M83/N83</f>
        <v>1</v>
      </c>
    </row>
    <row r="85" ht="12.75">
      <c r="L85">
        <v>308847.22</v>
      </c>
    </row>
    <row r="86" ht="12.75">
      <c r="L86" s="93">
        <f>L85/L83</f>
        <v>0.7431743269254855</v>
      </c>
    </row>
  </sheetData>
  <sheetProtection/>
  <mergeCells count="86">
    <mergeCell ref="D4:L4"/>
    <mergeCell ref="A1:L1"/>
    <mergeCell ref="A2:F2"/>
    <mergeCell ref="G2:L2"/>
    <mergeCell ref="A3:F3"/>
    <mergeCell ref="G3:L3"/>
    <mergeCell ref="C14:D14"/>
    <mergeCell ref="C15:D15"/>
    <mergeCell ref="D5:J6"/>
    <mergeCell ref="K5:L5"/>
    <mergeCell ref="K6:L6"/>
    <mergeCell ref="C7:E7"/>
    <mergeCell ref="C8:E8"/>
    <mergeCell ref="C9:E9"/>
    <mergeCell ref="C10:E10"/>
    <mergeCell ref="C11:E11"/>
    <mergeCell ref="C12:E12"/>
    <mergeCell ref="C13:E13"/>
    <mergeCell ref="C26:D26"/>
    <mergeCell ref="C27:D27"/>
    <mergeCell ref="C16:D16"/>
    <mergeCell ref="C17:D17"/>
    <mergeCell ref="C18:D18"/>
    <mergeCell ref="C19:D19"/>
    <mergeCell ref="C20:D20"/>
    <mergeCell ref="C21:D21"/>
    <mergeCell ref="C22:D22"/>
    <mergeCell ref="C23:D23"/>
    <mergeCell ref="C24:D24"/>
    <mergeCell ref="C25:D25"/>
    <mergeCell ref="C38:D38"/>
    <mergeCell ref="C39:D39"/>
    <mergeCell ref="C28:D28"/>
    <mergeCell ref="C29:D29"/>
    <mergeCell ref="C30:D30"/>
    <mergeCell ref="C31:D31"/>
    <mergeCell ref="C32:D32"/>
    <mergeCell ref="C33:D33"/>
    <mergeCell ref="C34:D34"/>
    <mergeCell ref="C35:D35"/>
    <mergeCell ref="C36:D36"/>
    <mergeCell ref="C37:D37"/>
    <mergeCell ref="C50:D50"/>
    <mergeCell ref="C51:D51"/>
    <mergeCell ref="C40:D40"/>
    <mergeCell ref="C41:D41"/>
    <mergeCell ref="C42:D42"/>
    <mergeCell ref="C43:D43"/>
    <mergeCell ref="C44:D44"/>
    <mergeCell ref="C45:D45"/>
    <mergeCell ref="C46:D46"/>
    <mergeCell ref="C47:D47"/>
    <mergeCell ref="C48:D48"/>
    <mergeCell ref="C49:D49"/>
    <mergeCell ref="C62:D62"/>
    <mergeCell ref="C63:D63"/>
    <mergeCell ref="C52:D52"/>
    <mergeCell ref="C53:D53"/>
    <mergeCell ref="C54:D54"/>
    <mergeCell ref="C55:D55"/>
    <mergeCell ref="C56:D56"/>
    <mergeCell ref="C57:D57"/>
    <mergeCell ref="C58:D58"/>
    <mergeCell ref="C59:D59"/>
    <mergeCell ref="C60:D60"/>
    <mergeCell ref="C61:D61"/>
    <mergeCell ref="C74:D74"/>
    <mergeCell ref="C75:D75"/>
    <mergeCell ref="C64:D64"/>
    <mergeCell ref="C65:D65"/>
    <mergeCell ref="C66:D66"/>
    <mergeCell ref="C67:D67"/>
    <mergeCell ref="C68:D68"/>
    <mergeCell ref="C69:D69"/>
    <mergeCell ref="C70:D70"/>
    <mergeCell ref="C71:D71"/>
    <mergeCell ref="C72:D72"/>
    <mergeCell ref="C73:D73"/>
    <mergeCell ref="C82:D82"/>
    <mergeCell ref="A83:K83"/>
    <mergeCell ref="C76:D76"/>
    <mergeCell ref="C77:D77"/>
    <mergeCell ref="C78:D78"/>
    <mergeCell ref="C79:D79"/>
    <mergeCell ref="C80:D80"/>
    <mergeCell ref="C81:D81"/>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Usuário do Windows</cp:lastModifiedBy>
  <cp:lastPrinted>2023-12-12T11:18:00Z</cp:lastPrinted>
  <dcterms:created xsi:type="dcterms:W3CDTF">2006-09-22T13:55:22Z</dcterms:created>
  <dcterms:modified xsi:type="dcterms:W3CDTF">2023-12-22T12:24:20Z</dcterms:modified>
  <cp:category/>
  <cp:version/>
  <cp:contentType/>
  <cp:contentStatus/>
</cp:coreProperties>
</file>