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60" windowWidth="14385" windowHeight="7695" activeTab="4"/>
  </bookViews>
  <sheets>
    <sheet name="Composição BDI" sheetId="1" r:id="rId1"/>
    <sheet name="Planilha Orcamentária" sheetId="2" state="hidden" r:id="rId2"/>
    <sheet name="O Q foi PAGO" sheetId="3" state="hidden" r:id="rId3"/>
    <sheet name="Planilha" sheetId="4" r:id="rId4"/>
    <sheet name="Cronograma Físico-Financeiro" sheetId="5" r:id="rId5"/>
    <sheet name="O Q foi PAGO (2)" sheetId="6" state="hidden" r:id="rId6"/>
    <sheet name="Plan2" sheetId="7" r:id="rId7"/>
  </sheets>
  <definedNames>
    <definedName name="_xlnm.Print_Area" localSheetId="0">'Composição BDI'!$A$1:$E$24</definedName>
    <definedName name="_xlnm.Print_Area" localSheetId="4">'Cronograma Físico-Financeiro'!$A$1:$H$49</definedName>
    <definedName name="_xlnm.Print_Area" localSheetId="3">'Planilha'!$A$1:$H$114</definedName>
    <definedName name="_xlnm.Print_Area" localSheetId="1">'Planilha Orcamentária'!$A$1:$H$62</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"$#REF!.$A$1:$B$3278"</definedName>
    <definedName name="Excel_BuiltIn__FilterDatabase_6_1">NA()</definedName>
    <definedName name="Excel_BuiltIn_Print_Area">"$#REF!.$B$1:$N$9"</definedName>
    <definedName name="Excel_BuiltIn_Print_Titles">"$#REF!.$A$1:$AMJ$9"</definedName>
    <definedName name="_xlnm.Print_Titles" localSheetId="3">'Planilha'!$1:$10</definedName>
    <definedName name="_xlnm.Print_Titles" localSheetId="1">'Planilha Orcamentária'!$1:$12</definedName>
  </definedNames>
  <calcPr fullCalcOnLoad="1"/>
</workbook>
</file>

<file path=xl/sharedStrings.xml><?xml version="1.0" encoding="utf-8"?>
<sst xmlns="http://schemas.openxmlformats.org/spreadsheetml/2006/main" count="1078" uniqueCount="579">
  <si>
    <t>ITEM</t>
  </si>
  <si>
    <t>DESCRIÇÃO</t>
  </si>
  <si>
    <t>QUANTIDADE</t>
  </si>
  <si>
    <t>UNIDADE</t>
  </si>
  <si>
    <t>PLANILHA ORÇAMENTÁRIA DE CUSTOS</t>
  </si>
  <si>
    <t>CÓDIGO</t>
  </si>
  <si>
    <t>DIRETA</t>
  </si>
  <si>
    <t>INDIRETA</t>
  </si>
  <si>
    <t>(    )</t>
  </si>
  <si>
    <t>LDI</t>
  </si>
  <si>
    <t>PREÇO TOTAL</t>
  </si>
  <si>
    <t>CREA</t>
  </si>
  <si>
    <t xml:space="preserve">FORMA DE EXECUÇÃO: </t>
  </si>
  <si>
    <t>PREÇO UNITÁRIO S/ LDI</t>
  </si>
  <si>
    <t>PREÇO UNITÁRIO C/ LDI</t>
  </si>
  <si>
    <t>M2</t>
  </si>
  <si>
    <t>1.1</t>
  </si>
  <si>
    <t>INSTALAÇÕES INICIAIS DA OBRA</t>
  </si>
  <si>
    <t>1.2</t>
  </si>
  <si>
    <t>2.1</t>
  </si>
  <si>
    <t>2.2</t>
  </si>
  <si>
    <t>2.3</t>
  </si>
  <si>
    <t>3.1</t>
  </si>
  <si>
    <t>M</t>
  </si>
  <si>
    <t>TOTAL GERAL DA OBRA</t>
  </si>
  <si>
    <t xml:space="preserve">FOLHA Nº: </t>
  </si>
  <si>
    <t>(  x  )</t>
  </si>
  <si>
    <t>CRONOGRAMA FÍSICO-FINANCEIRO</t>
  </si>
  <si>
    <t>ETAPAS/DESCRIÇÃO</t>
  </si>
  <si>
    <t>FÍSICO/ FINANCEIRO</t>
  </si>
  <si>
    <t>TOTAL  ETAPAS</t>
  </si>
  <si>
    <t>MÊS 1</t>
  </si>
  <si>
    <t>MÊS 2</t>
  </si>
  <si>
    <t>MÊS 3</t>
  </si>
  <si>
    <t>MÊS 4</t>
  </si>
  <si>
    <t>Físico %</t>
  </si>
  <si>
    <t>Financeiro</t>
  </si>
  <si>
    <t>TOTAL</t>
  </si>
  <si>
    <t>PREFEITURA: Prefeitura Municipal de Coração de Jesus</t>
  </si>
  <si>
    <t>___________________________________________</t>
  </si>
  <si>
    <t>R.T: Eng. Civil Eduardo Marques Dias</t>
  </si>
  <si>
    <t>45.984/D-MG</t>
  </si>
  <si>
    <t>CÁLCULO DE COMPOSIÇÃO DE BDI</t>
  </si>
  <si>
    <t>DISCRIMINAÇÃO DAS PARCELAS</t>
  </si>
  <si>
    <t>SIGLA</t>
  </si>
  <si>
    <t>ISS 5%</t>
  </si>
  <si>
    <t>Administração Central</t>
  </si>
  <si>
    <t>AC</t>
  </si>
  <si>
    <t>Lucro</t>
  </si>
  <si>
    <t>L</t>
  </si>
  <si>
    <t>Despesas Finaceiras</t>
  </si>
  <si>
    <t>DF</t>
  </si>
  <si>
    <t>Seguros</t>
  </si>
  <si>
    <t>S</t>
  </si>
  <si>
    <t>Garantias</t>
  </si>
  <si>
    <t>G</t>
  </si>
  <si>
    <t>Risco</t>
  </si>
  <si>
    <t>R</t>
  </si>
  <si>
    <t>Tributos</t>
  </si>
  <si>
    <t>I</t>
  </si>
  <si>
    <t>ISS</t>
  </si>
  <si>
    <t>PIS</t>
  </si>
  <si>
    <t>CONFINS</t>
  </si>
  <si>
    <t>FÓRMULA DO BDI =</t>
  </si>
  <si>
    <t>(1 - (I + CPRB))</t>
  </si>
  <si>
    <t xml:space="preserve">BDI(numerador) = </t>
  </si>
  <si>
    <t xml:space="preserve">BDI(denominador) = </t>
  </si>
  <si>
    <t xml:space="preserve">BDI TOTAL = </t>
  </si>
  <si>
    <r>
      <t>(</t>
    </r>
    <r>
      <rPr>
        <b/>
        <u val="single"/>
        <sz val="10"/>
        <rFont val="Arial"/>
        <family val="2"/>
      </rPr>
      <t>1 + (AC + S + G + R)) x (1 + DF) x (1 + L)</t>
    </r>
  </si>
  <si>
    <t xml:space="preserve">M3 </t>
  </si>
  <si>
    <t>2.1.1</t>
  </si>
  <si>
    <t>2.3.1</t>
  </si>
  <si>
    <t>3.1.1</t>
  </si>
  <si>
    <t>3.1.2</t>
  </si>
  <si>
    <t>3.1.3</t>
  </si>
  <si>
    <t>4.1.1</t>
  </si>
  <si>
    <t>4.1.2</t>
  </si>
  <si>
    <t>4.1.3</t>
  </si>
  <si>
    <t>Pedro Magalhães Araújo Neto - Prefeito Municipal de Coração de Jesus</t>
  </si>
  <si>
    <t>A N E X O   I I</t>
  </si>
  <si>
    <t>OBRA: Reforma da Praça Ferreira Leal</t>
  </si>
  <si>
    <t>DATA: 20/03/2014</t>
  </si>
  <si>
    <t>REGIÃO/MÊS DE REFERÊNCIA: Região Norte - Dezembro/2013 e Janeiro/2014</t>
  </si>
  <si>
    <t>PRAZO DE EXECUÇÃO: 02 Meses</t>
  </si>
  <si>
    <t>PISO</t>
  </si>
  <si>
    <t>OBR-VIA-210</t>
  </si>
  <si>
    <t>EXECUÇÃO DE CALÇAMENTO EM BLOQUETE - E = 6 CM - FCK = 25 MPA, INCLUINDO FORNECIMENTO E TRANSPORTE DE TODOS OS MATERIAIS, COLCHÃO DE ASSENTAMENTO E = 6 CM</t>
  </si>
  <si>
    <t xml:space="preserve">M2 </t>
  </si>
  <si>
    <t>PIN-ACR-025</t>
  </si>
  <si>
    <t xml:space="preserve">PINTURA ACRÍLICA SOBRE PISOS CIMENTADOS </t>
  </si>
  <si>
    <t>MIRANTE</t>
  </si>
  <si>
    <t>PIN-SEL-005</t>
  </si>
  <si>
    <t>PREPARAÇÃO PARA PINTURA EM PAREDES, PVA/ACRÍLICA COM FUNDO SELADOR</t>
  </si>
  <si>
    <t>PIN-ACR-005</t>
  </si>
  <si>
    <t>PINTURA ACRÍLICA, EM PAREDES, 2 DEMÃOS SEM MASSA CORRIDA, EXCLUSIVE FUNDO SELADOR</t>
  </si>
  <si>
    <t>GUARDA-CORPO</t>
  </si>
  <si>
    <t>EST-FOR-005</t>
  </si>
  <si>
    <t>FORMA E DESFORMA EM TÁBUAS DE PINHO, EXCLUSIVE ESCORAMENTO (3X) (PILARETES)</t>
  </si>
  <si>
    <t>EST-CON-015</t>
  </si>
  <si>
    <t>2.3.2</t>
  </si>
  <si>
    <t>FORNECIMENTO E LANÇAMENTO DE CONCRETO ESTRUTURAL VIRADO EM OBRA FCK &gt;= 13,5 MPA, BRITA 1 E 2 EM ESTRUTURA (PILARETES)</t>
  </si>
  <si>
    <t>2.3.3</t>
  </si>
  <si>
    <t>PIN-LAT-005</t>
  </si>
  <si>
    <t>PINTURA LÁTEX PVA, EM PAREDES, 2 DEMÃOS SEM MASSA CORRIDA, EXCLUSIVE FUNDO SELADOR (FECHAMENTO H=40 CM)</t>
  </si>
  <si>
    <t xml:space="preserve"> TUBO DE AÇO GALVANIZADO 2" (50MM) - FORNECIMENTO E INSTALACAO (GUARDA-CORPO)</t>
  </si>
  <si>
    <t>PIN-ESM-030</t>
  </si>
  <si>
    <t xml:space="preserve">M </t>
  </si>
  <si>
    <t>2.3.4</t>
  </si>
  <si>
    <t>2.3.5</t>
  </si>
  <si>
    <t>2.3.6</t>
  </si>
  <si>
    <t>PINTURA ÓLEO/ESMALTE, 2 DEMÃOS EM TUBO GALVANIZADO (GUARDA-CORPO)</t>
  </si>
  <si>
    <t>INSTALAÇÕES ELÉTRICAS</t>
  </si>
  <si>
    <t xml:space="preserve">UN </t>
  </si>
  <si>
    <t>ELE-LUM-070</t>
  </si>
  <si>
    <t>LUMINÁRIA REFLETORA PARA ILUMINAÇÃO PÚBLICA COM LÂMPADA VAPOR DE MERCÚRIO, 6 REFLETORES DE 400W EM POSTE DE CONCRETO COM 9 M DE ALTURA (COMPLETA)</t>
  </si>
  <si>
    <t xml:space="preserve">PÇ </t>
  </si>
  <si>
    <t>PAISAGISMO</t>
  </si>
  <si>
    <t xml:space="preserve">BANCO DE JARDIM EM CONCRETO TIPO 2, 150 X 40 CM, H = 45 CM </t>
  </si>
  <si>
    <t>BAN-JAR-015</t>
  </si>
  <si>
    <t>4.1</t>
  </si>
  <si>
    <t>ELE-CXS-085</t>
  </si>
  <si>
    <t>CAIXA DE PASSAGEM PARA PISO, METÁLICA, TAMPA ANTIDERRAPANTE, 400 X 400 X 200 CM</t>
  </si>
  <si>
    <t>ELE-ELE-020</t>
  </si>
  <si>
    <t xml:space="preserve">ELETRODUTO PVC RÍGIDO, ROSCA, INCLUSIVE CONEXÕES D = 1 1/4" </t>
  </si>
  <si>
    <t>ELE-CAB-025.7</t>
  </si>
  <si>
    <t>CABO DE COBRE ISOLAMENTO ANTI-CHAMA, SEÇÃO 10 MM2, 450/750 V - FLEXÍVEL (VERDE-AMARELO)</t>
  </si>
  <si>
    <t>ALVENARIA DE BLOCO DE CONCRETO E = 20 CM, APARENTE, VEDAÇÃO (FECHAMENTO H=40 CM)</t>
  </si>
  <si>
    <t>ALV-BLO-030</t>
  </si>
  <si>
    <t>HID-TUB-120</t>
  </si>
  <si>
    <t xml:space="preserve"> TUBO DE AÇO GALVANIZADO 1" (25MM) - FORNECIMENTO E INSTALACAO (GUARDA-CORPO)</t>
  </si>
  <si>
    <t>HID-TUB-105</t>
  </si>
  <si>
    <t>2.3.7</t>
  </si>
  <si>
    <t>3.2</t>
  </si>
  <si>
    <t>3.3</t>
  </si>
  <si>
    <t>3.4</t>
  </si>
  <si>
    <t>LOCAL: Praça Ferreira Leal, Centro, Municipio de Coração de Jesus-MG</t>
  </si>
  <si>
    <t>ELE-PAD-020</t>
  </si>
  <si>
    <t>PADRÃO CEMIG AÉREO TIPO D4, 27,1 &lt;= DEMANDA &lt;= 38 KVA,
TRIFÁSICO</t>
  </si>
  <si>
    <t>ELE-REL-005</t>
  </si>
  <si>
    <t>RELÉ FOTOELÉTRICO RM 10 120 V, 1200 VA COM BASE</t>
  </si>
  <si>
    <t>PLANILHA ORÇAMENTARIA DE CUSTOS - GERAL</t>
  </si>
  <si>
    <t>PREFEITURA: CORAÇÃO DE JESUS</t>
  </si>
  <si>
    <t>FOLHA N°:                  1</t>
  </si>
  <si>
    <t xml:space="preserve">OBRA: REFORMA DE PRAÇA </t>
  </si>
  <si>
    <t>DATA :                          23/05/2012</t>
  </si>
  <si>
    <t xml:space="preserve">LOCAL : CENTRO, PRAÇA FERREIRA LEAL </t>
  </si>
  <si>
    <t>FORMA DE EXECUÇÃO:</t>
  </si>
  <si>
    <t>REGIÃO/MÊS DE REFERÊNCIA: NORTE/MARÇO2012</t>
  </si>
  <si>
    <t>( ) DIRETA</t>
  </si>
  <si>
    <t>(X) INDIRETA</t>
  </si>
  <si>
    <t xml:space="preserve">PRAZO DE EXECUÇÃO: 3 MESES </t>
  </si>
  <si>
    <t xml:space="preserve">                LDI             26,00%</t>
  </si>
  <si>
    <t xml:space="preserve">DESCRIÇÃO DOS SERVIÇOS </t>
  </si>
  <si>
    <t>PREÇO UNITÁRIO S/LDI</t>
  </si>
  <si>
    <t>PREÇO UNITÁRIO C/LDI</t>
  </si>
  <si>
    <t xml:space="preserve">SERVIÇOS PRELIMINARES </t>
  </si>
  <si>
    <t xml:space="preserve">INSTALAÇÃO INICIAIS DA OBRA </t>
  </si>
  <si>
    <t>1.1.1</t>
  </si>
  <si>
    <t>IIO-BAR-046</t>
  </si>
  <si>
    <t>BARRAÇÃO DE OBRA</t>
  </si>
  <si>
    <t>M²</t>
  </si>
  <si>
    <t>1.1.2</t>
  </si>
  <si>
    <t>IIO-PLA-005</t>
  </si>
  <si>
    <t>FORNECIMENTO E COLOCAÇÃO DE PLACA DE OBRA EM CHAPA GALVANIZADA (3,00X1,50M) GOVERNO DE ESTADO</t>
  </si>
  <si>
    <t>UNI</t>
  </si>
  <si>
    <t>1.1.3</t>
  </si>
  <si>
    <t>IIO-LIG-010</t>
  </si>
  <si>
    <t>LIGAÇÃO PROVISÓRIA DE LUZ E FORÇA-PADRÃO PROVISÓRIA 30KVA</t>
  </si>
  <si>
    <t>1.1.4</t>
  </si>
  <si>
    <t>IIO-LIG-015</t>
  </si>
  <si>
    <t xml:space="preserve">LIGAÇÃO PROVISÓRIA DE AGUA E ESGOTO </t>
  </si>
  <si>
    <t xml:space="preserve">DEMOLIÇÃO E REMOÇÃO </t>
  </si>
  <si>
    <t>DEM-PIS-040</t>
  </si>
  <si>
    <t>DEMOLIÇÃO DE PASSEIO OU LAJE DE CONCRETO COM EQUIPAMENTO PNEUMÁTICO, INCLUSIVE AFASTAMENTO</t>
  </si>
  <si>
    <t xml:space="preserve">GRAMA E ÁRVORE </t>
  </si>
  <si>
    <t>PAI-GRA-015</t>
  </si>
  <si>
    <t xml:space="preserve">PLANTIO DE GRAMA ESMERALDA EM PLACAS, INCLUSIVE TERRA VEGETAL E CONSERVAÇÃO POR 30 DIAS </t>
  </si>
  <si>
    <t>PAI-COV-005</t>
  </si>
  <si>
    <t xml:space="preserve">PLANTIO E PREPARO DE COVAS DE ÁRVORE H MIN 1,80M COM COVA 60X60X60CM, EXCETO FORNOCIMENTO DE MUDAS </t>
  </si>
  <si>
    <t>PAI-MUD-010</t>
  </si>
  <si>
    <t xml:space="preserve">FORNOCIMENTO DE ÁRVORE - IPÊ ROSA </t>
  </si>
  <si>
    <t>3.1.4</t>
  </si>
  <si>
    <t>FORNECIMENTO DE ÁRVORE - FLAMBOYANT MIRIM</t>
  </si>
  <si>
    <t>3.1.5</t>
  </si>
  <si>
    <t>PAI-MUD-060</t>
  </si>
  <si>
    <t xml:space="preserve">FORNECIMENTO DE PALMEIRAS ARECA LUTESCENS </t>
  </si>
  <si>
    <t>3.1.6</t>
  </si>
  <si>
    <t>URB-COR-005</t>
  </si>
  <si>
    <t>CORDÃO DE CONCRETO PRÉ-MOLDADO BOLEADO 10X10CM</t>
  </si>
  <si>
    <t xml:space="preserve">INSTALAÇÃO HIDRÁULICA </t>
  </si>
  <si>
    <t xml:space="preserve">IRRIGAÇÃO </t>
  </si>
  <si>
    <t>HI-ADP-025</t>
  </si>
  <si>
    <t>ADAPTADOR SOLDÁVEL DE PVC MARROM COM FLANGES E ANEIS PARA CAIXA DE ÁGUA DN50MM X 1 1/2''</t>
  </si>
  <si>
    <t>HID-CXS-300</t>
  </si>
  <si>
    <t xml:space="preserve">CAIXA DE ÁGUA SUBTERRÂNEA, CAPACIDADE 15.000L, EM CONCRETO E CASAS DE BOMBAS </t>
  </si>
  <si>
    <t>HID-REG-105</t>
  </si>
  <si>
    <t>REGISTRO DE ESFERA EM PVC SOLDÁEL DN 32MM</t>
  </si>
  <si>
    <t>4.1.4</t>
  </si>
  <si>
    <t>HID-REG-030</t>
  </si>
  <si>
    <t>REGISTRO DE GAVETA BRUTO D= 32MM (1 1/4'')</t>
  </si>
  <si>
    <t>4.1.5</t>
  </si>
  <si>
    <t>HID-REG-035</t>
  </si>
  <si>
    <t>REGISTRO DE GAVETA BRUTO D= 40MM (1 1/2'')</t>
  </si>
  <si>
    <t>unid.</t>
  </si>
  <si>
    <t>4.1.6</t>
  </si>
  <si>
    <t>HID-TUB-015</t>
  </si>
  <si>
    <t>TUBO PVC RÍGIDO SOLDÁVEL, ÁGUA INCLUSIVE CONEXÕES E SUPORTE , 32MM</t>
  </si>
  <si>
    <t>4.1.7</t>
  </si>
  <si>
    <t>HID-TUB-010</t>
  </si>
  <si>
    <t>TUDO PVC RÍGIDO SOLDÁVEL , ÁGUA INCLUISIVE CONEXÕES E SUPORTES , 25MM</t>
  </si>
  <si>
    <t>4.1.8</t>
  </si>
  <si>
    <t>HID-TUB-020</t>
  </si>
  <si>
    <t>TUDO PVC RÍGIDO SOLDÁVEL , ÁGUA INCLUISIVE CONEXÕES E SUPORTES , 40MM</t>
  </si>
  <si>
    <t>4.1.9</t>
  </si>
  <si>
    <t>HID-TUB-025</t>
  </si>
  <si>
    <t>TUDO PVC RÍGIDO SOLDÁVEL , ÁGUA INCLUISIVE CONEXÕES E SUPORTES , 50MM</t>
  </si>
  <si>
    <t>4.1.10</t>
  </si>
  <si>
    <t>HID-BOM-035</t>
  </si>
  <si>
    <t>CONJUNTO ELEVATÓTIO MOTOR-BOMBA (CONTRÍFUGA) DE 3HP</t>
  </si>
  <si>
    <t>4.1.11</t>
  </si>
  <si>
    <t>MET-TOR-010</t>
  </si>
  <si>
    <t>TORNEIRA DE IRRIGAÇÃO D= 1/2''</t>
  </si>
  <si>
    <t xml:space="preserve">INSTALAÇÕES ELÉTRICAS </t>
  </si>
  <si>
    <t>5.1</t>
  </si>
  <si>
    <t xml:space="preserve">ILUMINAÇÃO </t>
  </si>
  <si>
    <t>5.1.1</t>
  </si>
  <si>
    <t>ELETRODUTO PVC RÍGIDO , ROSCA , INCLUSIVE CONEXÕES D= 1 1/4''</t>
  </si>
  <si>
    <t>5.1.2</t>
  </si>
  <si>
    <t>ELE-ELE-025</t>
  </si>
  <si>
    <t>ELETRODUTO PVC RÍGIDO , ROSCA , INCLUSIVE CONEXÕES D= 1 1/2''</t>
  </si>
  <si>
    <t>5.1.3</t>
  </si>
  <si>
    <t xml:space="preserve">PADRÃO CEMIG AEREO TIPO D4, 27,1&lt;=388&lt;VA, TRIFÁSICO </t>
  </si>
  <si>
    <t>5.1.4</t>
  </si>
  <si>
    <t>ELE-QUA-010</t>
  </si>
  <si>
    <t>QUADRO DE DISTRIBUIÇÃO PARA 20 MÓDULOS COM BARRAMENTO 100A</t>
  </si>
  <si>
    <t>5.1.5</t>
  </si>
  <si>
    <t>ELE-CAB-035.7</t>
  </si>
  <si>
    <t>CABO DE COBRE ISOLAMENTO ANTI-CHAMAS , SEÇÃO 25MM², 450/750V, FLEXÍVEL /VERDE-AMARELO</t>
  </si>
  <si>
    <t>5.1.6</t>
  </si>
  <si>
    <t>ELE-CAB-030.7</t>
  </si>
  <si>
    <t>CABO DE COBRE ISOLAMENTO ANTI-CHAMAS , SEÇÃO 16MM², 450/750V, FLEXÍVEL /VERDE-AMARELO</t>
  </si>
  <si>
    <t>5.1.7</t>
  </si>
  <si>
    <t>ELE-CAB-020.2</t>
  </si>
  <si>
    <t>CABO DE COBRE ISOLAMENTO ANTI-CHAMAS , SEÇÃO 6MM², 450/750V, FLEXÍVEL (PRETO)</t>
  </si>
  <si>
    <t>5.1.8</t>
  </si>
  <si>
    <t>ELE-CAB-020.5</t>
  </si>
  <si>
    <t>CABO DE COBRE ISOLAMENTO ANTI-CHAMAS , SEÇÃO 6MM², 450/750V, FLEXÍVEL (AZUL)</t>
  </si>
  <si>
    <t>5.1.9</t>
  </si>
  <si>
    <t>ELE-CAB-015.6</t>
  </si>
  <si>
    <t>CABO DE COBRE ISOLAMENTO ANTI-CHAMAS , SEÇÃO 4MM², 450/750V, FLEXÍVEL (VERDE)</t>
  </si>
  <si>
    <t>5.1.10</t>
  </si>
  <si>
    <t>ELE-CAB-020.6</t>
  </si>
  <si>
    <t>CABO DE COBRE ISOLAMENTO ANTI-CHAMAS , SEÇÃO 6MM², 450/750V, FLEXÍVEL (VERDE)</t>
  </si>
  <si>
    <t>5.1.11</t>
  </si>
  <si>
    <t>ELE-DIS-083</t>
  </si>
  <si>
    <t>DISJUNTOR TRIPOLAR TERMOMAGNÉTICO 5KA, DE 60A</t>
  </si>
  <si>
    <t>5.1.12</t>
  </si>
  <si>
    <t>ELE-DIS-060</t>
  </si>
  <si>
    <t>DISJUNTOR BIPOLAR TERMOMAGNÉTICO 5KA, DE 10A</t>
  </si>
  <si>
    <t>5.1.13</t>
  </si>
  <si>
    <t>ELE-DIS-061</t>
  </si>
  <si>
    <t>DISJUNTOR BIPOLAR TERMOMAGNÉTICO 5KA, DE 15A</t>
  </si>
  <si>
    <t>5.1.14</t>
  </si>
  <si>
    <t>ELE-CXS-370</t>
  </si>
  <si>
    <t xml:space="preserve">CAIXA DE PASSAGEM 15X15CM EM CHAPA DE FERRO COM TAMPA CEGA </t>
  </si>
  <si>
    <t>5.1.15</t>
  </si>
  <si>
    <t>ELE-ATE-005</t>
  </si>
  <si>
    <t>ATERRAMENTO COMPLETO, COM HASTES COPPERWLD 5/8'' X 2,40M</t>
  </si>
  <si>
    <t>5.1.16</t>
  </si>
  <si>
    <t>ELE-COR-005</t>
  </si>
  <si>
    <t xml:space="preserve">CABO COBRE NU # 6 MM² INCLUSIVE SUPORTE </t>
  </si>
  <si>
    <t>5.1.17</t>
  </si>
  <si>
    <t>SPDA-TER-045</t>
  </si>
  <si>
    <t>TERMINAL A COMPRESSÃO EM COBRE ESTANHADO PARA CABO 35MM²</t>
  </si>
  <si>
    <t>5.1.18</t>
  </si>
  <si>
    <t>ELE-LAM-057</t>
  </si>
  <si>
    <t>LÂMPADA MISTA DE 160W/220V</t>
  </si>
  <si>
    <t>5.1.19</t>
  </si>
  <si>
    <t>RELE FOTOLÉTRICO RM 10 120V, 1200VA COM BASE</t>
  </si>
  <si>
    <t>5.1.20</t>
  </si>
  <si>
    <t>ELE-POS-005</t>
  </si>
  <si>
    <t>POSTE DE AÇO GALVANIZADO A FOGO H-3,00 M , FIXAÇÃO POR BASE COM CHUMBADOR - COM DIFUSOR EM VIDRO  V-01 PARA LÂMPADA MISTA DE 160W</t>
  </si>
  <si>
    <t>PISOS</t>
  </si>
  <si>
    <t>6.1</t>
  </si>
  <si>
    <t xml:space="preserve">ÁREA DE LAZER </t>
  </si>
  <si>
    <t>6.1.1</t>
  </si>
  <si>
    <t>EXECUÇÃO DE CALÇAMENTO EM BLOQUETE -E=6CM, FCK=25MPA, INCLUINDO FORNECIMENTO E TRANSPORTE DE TODOS OS MATERIAIS, COLCHÃO DE ASSENTAMENTO E= 6CM</t>
  </si>
  <si>
    <t>6.1.2</t>
  </si>
  <si>
    <t>PIS-CER-005</t>
  </si>
  <si>
    <t xml:space="preserve">PISO CERÂMICO VERMELHO NATURAL 24X5,2 CM, ASSENTADO COM ARGAMASSA PRÉ-FABRICADA, INCUSIVE REJUNTAMENTO </t>
  </si>
  <si>
    <t>7.1</t>
  </si>
  <si>
    <t>ÁREA DE LAZER</t>
  </si>
  <si>
    <t>7.1.1</t>
  </si>
  <si>
    <t>ALV-BLO-010</t>
  </si>
  <si>
    <t xml:space="preserve">ALVENARIA DE BLOCO DE CONCRETO E= 15CM A REVESTIR , VEDAÇÃO </t>
  </si>
  <si>
    <t>7.1.2</t>
  </si>
  <si>
    <t>SEE-EST-045</t>
  </si>
  <si>
    <t>VIGA DE 0,21 A 0,35M DE LARGURA EM CONCRETO 20MPA, APARENTE, AFIRMAÇÃO, FORMA PLASTIFICADA, ESCORAMENTO DE DESFORMA</t>
  </si>
  <si>
    <t>M³</t>
  </si>
  <si>
    <t>7.1.3</t>
  </si>
  <si>
    <t>TER-ATE-015</t>
  </si>
  <si>
    <t xml:space="preserve">ATERRO COMPACTO MANUAL, COM SOQUETE </t>
  </si>
  <si>
    <t>7.1.4</t>
  </si>
  <si>
    <t>REV-CHA-005</t>
  </si>
  <si>
    <t xml:space="preserve">CHAPISCO DE PAREDES COM ARGAMASSA 1:3 CIMENTO E AREIA , A COLHER </t>
  </si>
  <si>
    <t>7.1.5</t>
  </si>
  <si>
    <t>REV-REB-010</t>
  </si>
  <si>
    <t xml:space="preserve">REBOCO COM ARGAMASSA 1:2:9 CIMENTO , CAL E AREIA COM ADITIVO IMPERMEABILIZANTE </t>
  </si>
  <si>
    <t>7.1.6</t>
  </si>
  <si>
    <t>7.1.7</t>
  </si>
  <si>
    <t>PINTURA ACRÍLICA, EM PAREDES, 2 DEMÃOS SEM MASSA CORRIDA, INCUSIVE FUNDO SELADOR</t>
  </si>
  <si>
    <t>7.1.8</t>
  </si>
  <si>
    <t>PIS-CIM-035</t>
  </si>
  <si>
    <t>PISO CIMENTADO DESEMPENADO E FELTRADO, ARGAMASSA 1:3, JUNTAS PL 17X30 E= 5CM, COM JUNTA DE 1X1M</t>
  </si>
  <si>
    <t>7.1.9</t>
  </si>
  <si>
    <t>SEE-EST-010</t>
  </si>
  <si>
    <t xml:space="preserve">PILARETE DE CONCRETO 17X20CM , CONCRETO 20MPA , APARENTE NA FACE EXTERNA, INCLUSIVE FORMA E AÇO, EM GUARDA-CORPO NAS CIRCULAÇÕES </t>
  </si>
  <si>
    <t>7.1.10</t>
  </si>
  <si>
    <t>SER-COR-015</t>
  </si>
  <si>
    <t>GUARDA-CORPO EM TUBO GALVANIZADO DIN 2440 D=2'', COM SUBDIVISÕES EM TUBO DE AÇO D= 1/2'', H=1,05M</t>
  </si>
  <si>
    <t>MEDIDO</t>
  </si>
  <si>
    <t>FALTA</t>
  </si>
  <si>
    <t>TOTAL DISPONÍVEL PARA TÉRMINA DA OBRA</t>
  </si>
  <si>
    <t>Engª. Civil Adenise de Sousa Martins</t>
  </si>
  <si>
    <t>CREA: 194.745/D-MG</t>
  </si>
  <si>
    <t>Robson Adalberto Mota Dias - Prefeito Municipal de Coração de Jesus</t>
  </si>
  <si>
    <t>RUA NOZINHO PRATES</t>
  </si>
  <si>
    <t>RUA JOSE OLEGARIO L.</t>
  </si>
  <si>
    <t>RUA AMINTAS SALES</t>
  </si>
  <si>
    <t>RUA JUCA DE QUEIROZ</t>
  </si>
  <si>
    <t>RUA FILOGONIO LAGOEIRO</t>
  </si>
  <si>
    <t>RUA JESUS CHATEUBRIAND</t>
  </si>
  <si>
    <t>RUA ÁLVARO AUGUSTO DE LÉLIS</t>
  </si>
  <si>
    <t>RUA FRANCISCO ANTUNES FERREIRA</t>
  </si>
  <si>
    <t>BDI</t>
  </si>
  <si>
    <t>BDI (conforme Ácordão Nº 2622/13)- Construção e Reforma de Edifícios</t>
  </si>
  <si>
    <t>PREÇO UNITÁRIO S/ BDI</t>
  </si>
  <si>
    <t>PREÇO UNITÁRIO C/ BDI</t>
  </si>
  <si>
    <t>UN</t>
  </si>
  <si>
    <t>SERVIÇOS PRELIMINARES</t>
  </si>
  <si>
    <t>ED-50273</t>
  </si>
  <si>
    <t>LOCAÇÃO DA OBRA (GABARITO)</t>
  </si>
  <si>
    <t>KG</t>
  </si>
  <si>
    <t>m³</t>
  </si>
  <si>
    <t>96995</t>
  </si>
  <si>
    <t>ESQUADRIAS</t>
  </si>
  <si>
    <t>ED-50794</t>
  </si>
  <si>
    <t>PORTA DE ABRIR, 01 FOLHA, EM CHAPA 14 SAE 1020 - PADRÃO SEDS</t>
  </si>
  <si>
    <t>COBERTURA</t>
  </si>
  <si>
    <t>94207</t>
  </si>
  <si>
    <t>TELHAMENTO COM TELHA ONDULADA DE FIBROCIMENTO E = 6 MM, COM RECOBRIMENTO LATERAL DE 1/4 DE ONDA PARA TELHADO COM INCLINAÇÃO MAIOR QUE 10°, COM ATÉ 2 ÁGUAS, INCLUSO IÇAMENTO. AF_07/2019</t>
  </si>
  <si>
    <t>94228</t>
  </si>
  <si>
    <t>CALHA EM CHAPA DE AÇO GALVANIZADO NÚMERO 24, DESENVOLVIMENTO DE 50 CM, INCLUSO TRANSPORTE VERTICAL. AF_07/2019</t>
  </si>
  <si>
    <t>94231</t>
  </si>
  <si>
    <t>RUFO EM CHAPA DE AÇO GALVANIZADO NÚMERO 24, CORTE DE 25 CM, INCLUSO TRANSPORTE VERTICAL. AF_07/2019</t>
  </si>
  <si>
    <t>6.2</t>
  </si>
  <si>
    <t>5.3</t>
  </si>
  <si>
    <t>7.2</t>
  </si>
  <si>
    <t xml:space="preserve">REVESTIMENTOS </t>
  </si>
  <si>
    <t>ED-9081</t>
  </si>
  <si>
    <t>REVESTIMENTO COM CERÂMICA APLICADO EM PAREDE, ACABAMENTO ESMALTADO, AMBIENTE INTERNO/EXTERNO, PADRÃO EXTRA, DIMENSÃO DA PEÇA DE 40X40 CM, PEI III, ASSENTAMENTO COM ARGAMASSA INDUSTRIALIZADA, INCLUSIVE REJUNTAMENTO</t>
  </si>
  <si>
    <t>8.1</t>
  </si>
  <si>
    <t>8.4</t>
  </si>
  <si>
    <t>8.5</t>
  </si>
  <si>
    <t>8.8</t>
  </si>
  <si>
    <t>ED-50566</t>
  </si>
  <si>
    <t>CONTRAPISO DESEMPENADO COM ARGAMASSA, TRAÇO 1:3 (CIMENTO E AREIA), ESP. 20MM</t>
  </si>
  <si>
    <t>93183</t>
  </si>
  <si>
    <t>VERGA PRÉ-MOLDADA PARA JANELAS COM MAIS DE 1,5 M DE VÃO. AF_03/2016</t>
  </si>
  <si>
    <t>93195</t>
  </si>
  <si>
    <t>CONTRAVERGA PRÉ-MOLDADA PARA VÃOS DE MAIS DE 1,5 M DE COMPRIMENTO. AF_03/2016</t>
  </si>
  <si>
    <t>93184</t>
  </si>
  <si>
    <t>VERGA PRÉ-MOLDADA PARA PORTAS COM ATÉ 1,5 M DE VÃO. AF_03/2016</t>
  </si>
  <si>
    <t>93182</t>
  </si>
  <si>
    <t>VERGA PRÉ-MOLDADA PARA JANELAS COM ATÉ 1,5 M DE VÃO. AF_03/2016</t>
  </si>
  <si>
    <t>93194</t>
  </si>
  <si>
    <t>CONTRAVERGA PRÉ-MOLDADA PARA VÃOS DE ATÉ 1,5 M DE COMPRIMENTO. AF_03/2016</t>
  </si>
  <si>
    <t>6.4</t>
  </si>
  <si>
    <t>PINTURA</t>
  </si>
  <si>
    <t>10.1</t>
  </si>
  <si>
    <t>10.2</t>
  </si>
  <si>
    <t>10.4</t>
  </si>
  <si>
    <t>10.5</t>
  </si>
  <si>
    <t>10.6</t>
  </si>
  <si>
    <t>10.7</t>
  </si>
  <si>
    <t>88415</t>
  </si>
  <si>
    <t>APLICAÇÃO MANUAL DE FUNDO SELADOR ACRÍLICO EM PAREDES EXTERNAS DE CASAS. AF_06/2014</t>
  </si>
  <si>
    <t>88484</t>
  </si>
  <si>
    <t>APLICAÇÃO DE FUNDO SELADOR ACRÍLICO EM TETO, UMA DEMÃO. AF_06/2014</t>
  </si>
  <si>
    <t>88485</t>
  </si>
  <si>
    <t>APLICAÇÃO DE FUNDO SELADOR ACRÍLICO EM PAREDES, UMA DEMÃO. AF_06/2014</t>
  </si>
  <si>
    <t>ED-50498</t>
  </si>
  <si>
    <t>ED-50473</t>
  </si>
  <si>
    <t>ED-50479</t>
  </si>
  <si>
    <t>EMASSAMENTO EM TETO COM MASSA CORRIDA (PVA), UMA (1) DEMÃO, INCLUSIVE LIXAMENTO PARA PINTURA</t>
  </si>
  <si>
    <t>ED-50499</t>
  </si>
  <si>
    <t>PINTURA LÁTEX (PVA) EM TETO, DUAS (2) DEMÃOS, EXCLUSIVE SELADOR ACRÍLICO E MASSA ACRÍLICA/CORRIDA (PVA)</t>
  </si>
  <si>
    <t>ED-50491</t>
  </si>
  <si>
    <t>PINTURA ESMALTE EM ESQUADRIAS DE FERRO, DUAS (2) DEMÃOS, INCLUSIVE UMA (1) DEMÃO DE FUNDO ANTICORROSIVO</t>
  </si>
  <si>
    <t>INSTALAÇÕES HIDROSSANITÁRIAS</t>
  </si>
  <si>
    <t>ED-50298</t>
  </si>
  <si>
    <t>BACIA SANITÁRIA (VASO) DE LOUÇA CONVENCIONAL, COR BRANCA, INCLUSIVE ACESSÓRIOS DE FIXAÇÃO/VEDAÇÃO, VÁLVULA DE DESCARGA METÁLICA COM ACIONAMENTO DUPLO, TUBO DE LIGAÇÃO DE LATÃO COM CANOPLA, FORNECIMENTO, INSTALAÇÃO E REJUNTAMENTO</t>
  </si>
  <si>
    <t>LOUÇAS, BANCADAS, ACESSÓRIOS E METAIS</t>
  </si>
  <si>
    <t>100872</t>
  </si>
  <si>
    <t>BARRA DE APOIO RETA, EM ALUMINIO, COMPRIMENTO 80 CM, FIXADA NA PAREDE - FORNECIMENTO E INSTALAÇÃO. AF_01/2020</t>
  </si>
  <si>
    <t>100874</t>
  </si>
  <si>
    <t>PUXADOR PARA PCD, FIXADO NA PORTA - FORNECIMENTO E INSTALAÇÃO. AF_01/2020</t>
  </si>
  <si>
    <t>91955</t>
  </si>
  <si>
    <t>ED-13357</t>
  </si>
  <si>
    <t>LUMINÁRIA PLAFON REDONDO DE VIDRO JATEADO REDONDO COMPLETA, DIÂMETRO 25 CM, PARA UMA (1) LÂMPADA LED, POTÊNCIA 15W, BULBO A65, FORNECIMENTO E INSTALAÇÃO, INCLUSIVE BASE E LÂMPADA</t>
  </si>
  <si>
    <t>12.2</t>
  </si>
  <si>
    <t>CORTE, DOBRA E MONTAGEM DE AÇO CA-60 DIÂMETRO (4,2MM A 5,0MM)</t>
  </si>
  <si>
    <t xml:space="preserve">ED-48297 </t>
  </si>
  <si>
    <t>CORTE, DOBRA E MONTAGEM DE AÇO CA-50 DIÂMETRO (6,3MM A12,5MM)</t>
  </si>
  <si>
    <t xml:space="preserve">ED-48295 </t>
  </si>
  <si>
    <t xml:space="preserve">LASTRO DE CONCRETO MAGRO, INCLUSIVE TRANSPORTE,
LANÇAMENTO E ADENSAMENTO </t>
  </si>
  <si>
    <t>ED-49812</t>
  </si>
  <si>
    <t>REATERRO E COMPACTAÇÃO MANUAL DE VALA</t>
  </si>
  <si>
    <t>ED-51107</t>
  </si>
  <si>
    <t>ESCAVAÇÃO MANUAL DE VALAS H &lt;= 1,50 M</t>
  </si>
  <si>
    <t>SUBTOTAL:</t>
  </si>
  <si>
    <t xml:space="preserve">LAJE PRÉ-MOLDADA, A REVESTIR, INCLUSIVE CAPEAMENTO E = 4
CM, SC = 100 KG/M2, L = 5,00 M </t>
  </si>
  <si>
    <t>FORNECIMENTO E COLOCAÇÃO DE PLACA DE OBRA EM CHAPA
GALVANIZADA (3,00 X 1,5 0 M) - EM CHAPA GALVANIZADA 0,26
AFIXADAS COM REBITES 540 E PARAFUSOS 3/8, EM ESTRUTURA
METÁLICA VIGA U 2" ENRIJECIDA COM METALON 20 X 20, SUPORTE EM EUCALIPTO AUTOCLAVADO PINTADAS</t>
  </si>
  <si>
    <t xml:space="preserve">ED-50152 </t>
  </si>
  <si>
    <t>ED-50254</t>
  </si>
  <si>
    <t>CHAPISCO COM ARGAMASSA, TRAÇO 1:3 (CIMENTO E AREIA), ESP. 5MM, APLICADO EM ALVENARIA/ESTRUTURA DE CONCRETO COM COLHER</t>
  </si>
  <si>
    <t>ED-50727</t>
  </si>
  <si>
    <t>REBOCO COM ARGAMASSA, TRAÇO 1:7 (CIMENTO E AREIA), ESP. 20MM, APLICAÇÃO MANUAL, PREPARO MECÂNICO</t>
  </si>
  <si>
    <t>EMBOÇO COM ARGAMASSA, TRAÇO 1:6 (CIMENTO E AREIA), ESP. 20MM, APLICAÇÃO MANUAL, PREPARO MECÂNICO</t>
  </si>
  <si>
    <t>ED-50732</t>
  </si>
  <si>
    <t>ED-50759</t>
  </si>
  <si>
    <t>BANCADA EM GRANITO CINZA ANDORINHA E = 3 CM, APOIADA EM CONSOLE DE METALON 20 X 30 MM</t>
  </si>
  <si>
    <t>ED-48343</t>
  </si>
  <si>
    <t>ED-51156</t>
  </si>
  <si>
    <t>VIDRO COMUM LISO INCOLOR, ESP. 4MM, INCLUSIVE FIXAÇÃO E VEDAÇÃO COM GUARNIÇÃO/GAXETA DE BORRACHA NEOPRENE, FORNECIMENTO E INSTALAÇÃO, EXCLUSIVE CAIXILHO/PERFIL</t>
  </si>
  <si>
    <t>FORNECIMENTO E ASSENTAMENTO DE JANELA BASCULANTE DE FERRO</t>
  </si>
  <si>
    <t>ED-50954</t>
  </si>
  <si>
    <t>LAVATÓRIO DE LOUÇA BRANCA SEM COLUNA, TAMANHO MÉDIO, INCLUSIVE ACESSÓRIOS DE FIXAÇÃO, VÁLVULA DE ESCOAMENTO DE METAL COM ACABAMENTO CROMADO, SIFÃO DE METAL TIPO COPO COM ACABAMENTO CROMADO, FORNECIMENTO, INSTALAÇÃO E REJUNTAMENTO, EXCLUSIVE TORNEIRA E ENGATE FLEXÍVEL</t>
  </si>
  <si>
    <t>ED-50283</t>
  </si>
  <si>
    <t>TORNEIRA METÁLICA PARA LAVATÓRIO, ABERTURA 1/4 DE VOLTA, ACABAMENTO CROMADO, COM AREJADOR, APLICAÇÃO DE MESA , INCLUSIVE ENGATE FLEXÍVEL METÁLICO, FORNECIMENTO E INSTALAÇÃO</t>
  </si>
  <si>
    <t>ED-50330</t>
  </si>
  <si>
    <t>103323</t>
  </si>
  <si>
    <t xml:space="preserve">92544 </t>
  </si>
  <si>
    <t xml:space="preserve">TRAMA DE MADEIRA COMPOSTA POR TERÇAS PARA TELHADOS DE ATÉ 2 ÁGUAS PARA TELHA ESTRUTURAL DE FIBROCIMENTO, INCLUSO TRANSPORTE VERTICAL. </t>
  </si>
  <si>
    <t>PISO EM CONCRETO, PREPARADO EM OBRA COM BETONEIRA, FCK 10MPA, SEM ARMAÇÃO, ACABAMENTO RÚSTICO, ESP. 5CM, INCLUSIVE FORNECIMENTO, LANÇAMENTO, ADENSAMENTO, SARRAFEAMENTO, EXCLUSIVE JUNTA DE DILATAÇÃO</t>
  </si>
  <si>
    <t>ED-9317</t>
  </si>
  <si>
    <t>EMASSAMENTO EM PAREDE COM MASSA CORRIDA (PVA), UMA (1) DEMÃO, INCLUSIVE LIXAMENTO PARA PINTURA - PAREDE INTERNA</t>
  </si>
  <si>
    <t>EMASSAMENTO EM PAREDE COM MASSA ACRÍLICA, UMA (1) DEMÃO, INCLUSIVE LIXAMENTO PARA PINTURA - PAREDE EXTERNA</t>
  </si>
  <si>
    <t>ED-50477</t>
  </si>
  <si>
    <t>FORRO DE GESSO EM PLACAS ACARTONADAS - FGE</t>
  </si>
  <si>
    <t>ED-49686F</t>
  </si>
  <si>
    <t>CHAPIM EM CHAPA GALVANIZADA, COM PINGADEIRA, ESP. 0, 65MM (GSG-24), COM DESENVOLVIMENTO DE 35CM, INCLUSIVE IÇAMENTO MANUAL VERTICAL</t>
  </si>
  <si>
    <t>ED-50667</t>
  </si>
  <si>
    <t>PONTO DE EMBUTIR PARA UM (1) INTERRUPTOR SIMPLES (10A250V), COM PLACA 4"X2" DE UM (1) POSTO, COM ELETRODUTO FLEXÍVEL CORRUGADO, ANTI-CHAMA, DN 25MM (3/4"), EMBUTIDO NA ALVENARIA E CABO DE COBRE FLEXÍVEL, CLASSE 5, ISOLAMENTO TIPO LSHF/ATOX, NÃO HALOGENADO, SEÇÃO 1, 5MM2 (70°C-450/750V), COM DISTÂNCIA DE ATÉ DEZ (10) METROS DO PONTO DE DERIVAÇÃO, INCLUSIVE CAIXA DE LIGAÇÃO, SUPORTE E FIXAÇÃO DO ELETRODUTO COM ENCHIMENTO DO RASGO NA ALVENARIA/CONCRETO COM ARGAMASSA</t>
  </si>
  <si>
    <t>ED-50227</t>
  </si>
  <si>
    <t>PONTO DE EMBUTIR PARA UMA (1) LUMINÁRIA,COM ELETRODUTO DE PVC RÍGIDO ROSCÁVEL, DN 20MM (3/4"), EMBUTIDO NA LAJE E CABO DE COBRE FLEXÍVEL, CLASSE 5, ISOLAMENTO TIPO LSHF/ ATOX, NÃO HALOGENADO, SEÇÃO 1,5MM2 (70°C-450/750V), COM DISTÂNCIA DE ATÉ CINCO (5) METROS DO PONTO DE DERIVAÇÃO, EXCLUSIVE LUMINÁRIA, INCLUSIVE CAIXA DE LIGAÇÃO OCTOGONAL, SUPORTE E FIXAÇÃO DO ELETRODUTO</t>
  </si>
  <si>
    <t>ED-50228</t>
  </si>
  <si>
    <t xml:space="preserve">PONTO DE TOMADA RESIDENCIAL INCLUINDO TOMADA (2 MÓDULOS) 10A/250V, CAIXA ELÉTRICA, ELETRODUTO, CABO, RASGO, QUEBRA E CHUMBAMENTO. </t>
  </si>
  <si>
    <t>PONTO DE EMBUTIR PARA ÁGUA FRIA EM TUBO DE PVC RÍGIDO SOLDÁVEL, DN 20MM (1/2"), EMBUTIDO NA ALVENARIA COM DISTÂNCIA DE ATÉ CINCO (5) METROS DA TOMADA DE ÁGUA, INCLUSIVE CONEXÕES E FIXAÇÃO DO TUBO COM ENCHIMENTO DO RASGO NA ALVENARIA/CONCRETO COM ARGAMASSA</t>
  </si>
  <si>
    <t>ED-50221</t>
  </si>
  <si>
    <t>Kiara Lopes Prates - Arquiteta e Urbanista</t>
  </si>
  <si>
    <t>CAU-MG</t>
  </si>
  <si>
    <t>A197.634-6</t>
  </si>
  <si>
    <t>OBRA: Construção de Anexo para Central de Vacina no SESP</t>
  </si>
  <si>
    <t>ALVENARIA DE VEDAÇÃO DE BLOCOS CERÂMICOS FURADOS NA VERTICAL DE 14X19X39 CM (ESPESSURA 14 CM) E ARGAMASSA DE ASSENTAMENTO COM PREPARO MANUAL. AF_12/2021</t>
  </si>
  <si>
    <t>APILOAMENTO DO FUNDO DE VALAS COM SOQUETE</t>
  </si>
  <si>
    <t>ED-51093</t>
  </si>
  <si>
    <t>FORNECIMENTO DE CONCRETO ESTRUTURAL, PREPARADO EM OBRA COM BETONEIRA, COM FCK 25 MPA, INCLUSIVE LANÇAMENTO, ADENSAMENTO E ACABAMENTO</t>
  </si>
  <si>
    <t>ED-49787</t>
  </si>
  <si>
    <t>ED-49810</t>
  </si>
  <si>
    <t>FORMA E DESFORMA DE COMPENSADO RESINADO, ESP. 10MM, REAPROVEITAMENTO (3X), EXCLUSIVE ESCORAMENTO</t>
  </si>
  <si>
    <t>ED-49644</t>
  </si>
  <si>
    <t>ESCORAMENTO METÁLICO PARA LAJE E VIGA EM CONCRETO ARMADO, TIPO "A", ALTURA DE (200 ATÉ 310)CM, INCLUSIVE DESCARGA, MONTAGEM, DESMONTAGEM E CARGA</t>
  </si>
  <si>
    <t>ED-19633</t>
  </si>
  <si>
    <t>M²/mês</t>
  </si>
  <si>
    <t>CAIXA D´ÁGUA DE POLIETILENO, CAPACIDADE DE 500L, INCLUSIVE TAMPA, TORNEIRA DE BOIA, EXTRAVASOR, TUBO DE LIMPEZA E ACESSÓRIOS, EXCLUSIVE TUBULAÇÃO DE ENTRADA/ SAÍDA DE ÁGUA</t>
  </si>
  <si>
    <t>ED-49935</t>
  </si>
  <si>
    <t>IMPERMEABILIZAÇÃO DE SUPERFÍCIE COM EMULSÃO ASFÁLTICA, 2 DEMÃOS</t>
  </si>
  <si>
    <t xml:space="preserve">98557 </t>
  </si>
  <si>
    <t>PONTO DE EMBUTIR PARA ESGOTO EM TUBO PVC RÍGIDO, PB SÉRIE NORMAL, DN 40MM (1.1/2"), EMBUTIDO NA ALVENARIA/PISO, COM ALTURA (SAÍDA) DE 50CM DO PISO, COM DISTÂNCIA DE ATÉ CINCO (5) METROS DA RAMAL DE ESGOTO, EXCLUSIVE ESCAVAÇÃO, INCLUSIVE CONEXÕES E FIXAÇÃO DO TUBO COM ENCHIMENTO DO RASGO NA ALVENARIA/CONCRETO COM ARGAMASSA</t>
  </si>
  <si>
    <t>ED-50223</t>
  </si>
  <si>
    <t>ED-50225</t>
  </si>
  <si>
    <t>PONTO DE EMBUTIR PARA ESGOTO EM TUBO PVC RÍGIDO, PBV SÉRIE NORMAL, DN 100MM (4"), EMBUTIDO EM PISO COM DISTÂNCIA DE ATÉ CINCO (5) METROS DA RAMAL DE ESGOTO, INCLUSIVE CONEXÕES E FIXAÇÃO DO TUBO COM ENCHIMENTO DO RASGO NO CONCRETO COM ARGAMASSA</t>
  </si>
  <si>
    <t>CAIXA DE ESGOTO DE INSPEÇÃO/PASSAGEM EM ALVENARIA ( 30X30X40CM), REVESTIMENTO EM ARGAMASSA COM ADITIVO IMPERMEABILIZANTE, COM TAMPA DE CONCRETO, INCLUSIVE ESCAVAÇÃO, REATERRO E TRANSPORTE E RETIRADA DO MATERIAL ESCAVADO (EM CAÇAMBA)</t>
  </si>
  <si>
    <t>ED-49871</t>
  </si>
  <si>
    <t>TORNEIRA METÁLICA PARA IRRIGAÇÃO/JARDIM, ACABAMENTO CROMADO, APLICAÇÃO DE PAREDE, INCLUSIVE FORNECIMENTO E INSTALAÇÃO</t>
  </si>
  <si>
    <t>ED-50323</t>
  </si>
  <si>
    <t>LUMINÁRIA ARANDELA TIPO MEIA-LUA COMPLETA, DIÂMETRO 25 CM, PARA UMA (1) LÂMPADA LED, POTÊNCIA 9W, BULBO A60, FORNECIMENTO E INSTALAÇÃO, INCLUSIVE BASE E LÂMPADA</t>
  </si>
  <si>
    <t>ED-9955</t>
  </si>
  <si>
    <t>QUADRO DE DISTRIBUIÇÃO PARA 8 MÓDULOS COM BARRAMENTO E CHAVE</t>
  </si>
  <si>
    <t>ED-49498</t>
  </si>
  <si>
    <t>ED-49228</t>
  </si>
  <si>
    <t>DISJUNTOR MONOPOLAR TERMOMAGNÉTICO 5KA, DE 10A</t>
  </si>
  <si>
    <t>ED-49231</t>
  </si>
  <si>
    <t>DISJUNTOR MONOPOLAR TERMOMAGNÉTICO 5KA, DE 20A</t>
  </si>
  <si>
    <t xml:space="preserve">FORMA E DESFORMA DE TÁBUA E SARRAFO, REAPROVEITAMENTO (6X) </t>
  </si>
  <si>
    <t xml:space="preserve">PONTO DE TOMADA RESIDENCIAL INCLUINDO TOMADA 20A/250V, CAIXA ELÉTRICA, ELETRODUTO, CABO, RASGO, QUEBRA E CHUMBAMENTO. </t>
  </si>
  <si>
    <t>93143</t>
  </si>
  <si>
    <t>PINTURA ACRÍLICA EM PAREDE, DUAS (2) DEMÃOS, EXCLUSIVE SELADOR ACRÍLICO E MASSA ACRÍLICA/CORRIDA (PVA)</t>
  </si>
  <si>
    <t>ED-50754</t>
  </si>
  <si>
    <t xml:space="preserve">PORTA DE ABRIR COM MOLA HIDRÁULICA, EM VIDRO TEMPERADO, 90X210 CM, ESPESSURA 10 MM, INCLUSIVE ACESSÓRIOS. </t>
  </si>
  <si>
    <t>102184</t>
  </si>
  <si>
    <t>EXECUÇÃO DE PAVIMENTO EM PISO INTERTRAVADO, COM BLOCO PISOGRAMA DE 35 X 25 CM, ESPESSURA 8 CM. AF_12/2015</t>
  </si>
  <si>
    <t>LIMPEZA DO TERRENO, INCLUSIVE CAPINA, RASTELAMENTO COM AFASTAMENTO ATÉ 20M E QUEIMA CONTROLADA</t>
  </si>
  <si>
    <t>ED-50703</t>
  </si>
  <si>
    <t>92391</t>
  </si>
  <si>
    <t>DEMOLIÇÃO DE PISO CIMENTADO OU CONTRAPISO DE ARGAMASSA ESPESSURA MÁXIMA DE 10CM, INCLUSIVE AFASTAMENTO</t>
  </si>
  <si>
    <t>ED-48479</t>
  </si>
  <si>
    <t>ÁREA EXTERNA</t>
  </si>
  <si>
    <t>PLANTIO DE GRAMA BATATAIS EM PLACAS, INCLUSIVE TERRA VEGETAL E CONSERVAÇÃO POR TRINTA (30) DIAS</t>
  </si>
  <si>
    <t>ED-50435</t>
  </si>
  <si>
    <t>BANCO EM CONCRETO APARENTE, SEM ENCOSTO, POLIDO COM ACABAMENTO EM VERNIZ, ESP. 8CM, COMPRIMENTO 200CM, LARGURA 40CM, ALTURA 55CM, INCLUSIVE CORTE NO PISO PARA FIXAÇÃO COM CONCRETO NÃO ESTRUTURAL, PREPARADO EM OBRA COM BETONEIRA, COM FCK 15 MPA</t>
  </si>
  <si>
    <t>ED-15446</t>
  </si>
  <si>
    <t>1.3</t>
  </si>
  <si>
    <t>1.4</t>
  </si>
  <si>
    <t>2.4</t>
  </si>
  <si>
    <t>2.5</t>
  </si>
  <si>
    <t>2.6</t>
  </si>
  <si>
    <t>2.7</t>
  </si>
  <si>
    <t>2.8</t>
  </si>
  <si>
    <t>2.9</t>
  </si>
  <si>
    <t>2.10</t>
  </si>
  <si>
    <t>2.11</t>
  </si>
  <si>
    <t>2.12</t>
  </si>
  <si>
    <t>3.5</t>
  </si>
  <si>
    <t>3.6</t>
  </si>
  <si>
    <t>4.2</t>
  </si>
  <si>
    <t>4.3</t>
  </si>
  <si>
    <t>4.4</t>
  </si>
  <si>
    <t>5.2</t>
  </si>
  <si>
    <t>5.4</t>
  </si>
  <si>
    <t>5.5</t>
  </si>
  <si>
    <t>6.3</t>
  </si>
  <si>
    <t>6.5</t>
  </si>
  <si>
    <t>7.3</t>
  </si>
  <si>
    <t>8.2</t>
  </si>
  <si>
    <t>8.3</t>
  </si>
  <si>
    <t>8.6</t>
  </si>
  <si>
    <t>8.7</t>
  </si>
  <si>
    <t>8.9</t>
  </si>
  <si>
    <t>9.1</t>
  </si>
  <si>
    <t>9.2</t>
  </si>
  <si>
    <t>9.3</t>
  </si>
  <si>
    <t>9.4</t>
  </si>
  <si>
    <t>9.5</t>
  </si>
  <si>
    <t>10.3</t>
  </si>
  <si>
    <t>11.1</t>
  </si>
  <si>
    <t>11.2</t>
  </si>
  <si>
    <t>11.3</t>
  </si>
  <si>
    <t>11.4</t>
  </si>
  <si>
    <t>11.5</t>
  </si>
  <si>
    <t>11.6</t>
  </si>
  <si>
    <t>11.7</t>
  </si>
  <si>
    <t>11.8</t>
  </si>
  <si>
    <t>11.9</t>
  </si>
  <si>
    <t>12.1</t>
  </si>
  <si>
    <t>12.3</t>
  </si>
  <si>
    <t>FORNECIMENTO DE ÁRVORE JACARANDÁ MIMOSO COM ALTURA MÉDIA DE 2,00M, EXCLUSIVE PLANTIO</t>
  </si>
  <si>
    <t>ED-50442</t>
  </si>
  <si>
    <t xml:space="preserve">MUDA DE PALMEIRA, ARECA, H= *1,50* CM </t>
  </si>
  <si>
    <t>38641</t>
  </si>
  <si>
    <t>MUDA DE ARBUSTO FLORIFERO MOREIA BRANCA/86,20
 H= *50 A 70* CM</t>
  </si>
  <si>
    <t>PLANTIO E PREPARO DE COVAS DE ARBUSTOS ORNAMENTAIS EM GERAL, EXCETO FORNECIMENTO DAS MUDAS</t>
  </si>
  <si>
    <t>ED-50433</t>
  </si>
  <si>
    <t>PLANTIO E PREPARO DE COVAS PARA ÁRVORES COM ALTURA MÉDIA DE 2,00M, DIMENSÕES (60X60X60)CM , EXCLUSIVE FORNECIMENTO DAS MUDAS</t>
  </si>
  <si>
    <t>ED-50432</t>
  </si>
  <si>
    <t>102180</t>
  </si>
  <si>
    <t xml:space="preserve">INSTALAÇÃO DE VIDRO TEMPERADO, E = 8 MM, ENCAIXADO EM PERFIL U. </t>
  </si>
  <si>
    <t>ESTRUTURAS DE CONCRETO</t>
  </si>
  <si>
    <t>REVESTIMENTO COM PORCELANATO APLICADO EM PISO, ACABAMENTO ACETINADO, AMBIENTE INTERNO, PADRÃO EXTRA, BORDA RETIFICADA, DIMENSÃO DA PEÇA (60X60CM), ASSENTAMENTO COM ARGAMASSA INDUSTRIALIZADA, INCLUSIVE REJUNTAMENTO - PISO E RODAPÉ</t>
  </si>
  <si>
    <t>ALVENARIAS</t>
  </si>
  <si>
    <t>DATA: 28/10/2022</t>
  </si>
  <si>
    <t>REGIÃO/MÊS DE REFERÊNCIA: SINAPI MG / JUNHO DE 2022 - Não Desonerado - SETOP NORTE / ABRIL DE 2021</t>
  </si>
  <si>
    <t>PRAZO DE EXECUÇÃO: 4 Meses</t>
  </si>
  <si>
    <t>CONDUTOR DE AP DO TELHADO EM TUBO PVC ESGOTO, INCLUSIVE CONEXÕES E SUPORTES, 100 MM</t>
  </si>
  <si>
    <t>ED-50668</t>
  </si>
  <si>
    <t>PRAZO DE EXECUÇÃO: 4 MESES</t>
  </si>
  <si>
    <t>VALOR:  R$ 207.559,02</t>
  </si>
  <si>
    <t>LOCAL: Rua Praça Getúlio Vargas, s/nº - Coração de Jesus - MG</t>
  </si>
</sst>
</file>

<file path=xl/styles.xml><?xml version="1.0" encoding="utf-8"?>
<styleSheet xmlns="http://schemas.openxmlformats.org/spreadsheetml/2006/main">
  <numFmts count="6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quot;R$ &quot;#,##0.00"/>
    <numFmt numFmtId="183" formatCode="0.0%"/>
    <numFmt numFmtId="184" formatCode="&quot;R$&quot;\ #,##0.0;[Red]\-&quot;R$&quot;\ #,##0.0"/>
    <numFmt numFmtId="185" formatCode="&quot;R$&quot;\ #,##0.00"/>
    <numFmt numFmtId="186" formatCode="&quot;Ativado&quot;;&quot;Ativado&quot;;&quot;Desativado&quot;"/>
    <numFmt numFmtId="187" formatCode="[$-416]dddd\,\ d&quot; de &quot;mmmm&quot; de &quot;yyyy"/>
    <numFmt numFmtId="188" formatCode="&quot;R$&quot;#,##0_);\(&quot;R$&quot;#,##0\)"/>
    <numFmt numFmtId="189" formatCode="&quot;R$&quot;#,##0_);[Red]\(&quot;R$&quot;#,##0\)"/>
    <numFmt numFmtId="190" formatCode="&quot;R$&quot;#,##0.00_);\(&quot;R$&quot;#,##0.00\)"/>
    <numFmt numFmtId="191" formatCode="&quot;R$&quot;#,##0.00_);[Red]\(&quot;R$&quot;#,##0.00\)"/>
    <numFmt numFmtId="192" formatCode="_(&quot;R$&quot;* #,##0_);_(&quot;R$&quot;* \(#,##0\);_(&quot;R$&quot;* &quot;-&quot;_);_(@_)"/>
    <numFmt numFmtId="193" formatCode="_(&quot;R$&quot;* #,##0.00_);_(&quot;R$&quot;* \(#,##0.00\);_(&quot;R$&quot;* &quot;-&quot;??_);_(@_)"/>
    <numFmt numFmtId="194" formatCode="0.000"/>
    <numFmt numFmtId="195" formatCode="0.0000"/>
    <numFmt numFmtId="196" formatCode="d\ mmmm\,\ yyyy"/>
    <numFmt numFmtId="197" formatCode="mmm/yyyy"/>
    <numFmt numFmtId="198" formatCode="0.0"/>
    <numFmt numFmtId="199" formatCode="0_);[Red]\(0\)"/>
    <numFmt numFmtId="200" formatCode="00"/>
    <numFmt numFmtId="201" formatCode="[$-416]mmm/yyyy;@"/>
    <numFmt numFmtId="202" formatCode="dd/mm/yy;@"/>
    <numFmt numFmtId="203" formatCode="0.000%"/>
    <numFmt numFmtId="204" formatCode="0.0000%"/>
    <numFmt numFmtId="205" formatCode="[$-416]mmmm\-yy;@"/>
    <numFmt numFmtId="206" formatCode="d/m/yy;@"/>
    <numFmt numFmtId="207" formatCode="[$-416]mmm\-yyyy;@"/>
    <numFmt numFmtId="208" formatCode="[$-416]mmmm\-yyyy;@"/>
    <numFmt numFmtId="209" formatCode="_-* #,##0.000_-;\-* #,##0.000_-;_-* &quot;-&quot;??_-;_-@_-"/>
    <numFmt numFmtId="210" formatCode="_-* #,##0.0000_-;\-* #,##0.0000_-;_-* &quot;-&quot;??_-;_-@_-"/>
    <numFmt numFmtId="211" formatCode="_-* #,##0.00000_-;\-* #,##0.00000_-;_-* &quot;-&quot;??_-;_-@_-"/>
    <numFmt numFmtId="212" formatCode="_-* #,##0.000000_-;\-* #,##0.000000_-;_-* &quot;-&quot;??_-;_-@_-"/>
    <numFmt numFmtId="213" formatCode="#,##0.0000_);\(#,##0.0000\)"/>
    <numFmt numFmtId="214" formatCode="_-* #,##0.0000000_-;\-* #,##0.0000000_-;_-* &quot;-&quot;??_-;_-@_-"/>
    <numFmt numFmtId="215" formatCode="_(* #,##0.0000_);_(* \(#,##0.0000\);_(* &quot;-&quot;??_);_(@_)"/>
    <numFmt numFmtId="216" formatCode="_-* #,##0.0000000_-;\-* #,##0.0000000_-;_-* &quot;-&quot;???????_-;_-@_-"/>
    <numFmt numFmtId="217" formatCode="#,##0.000"/>
    <numFmt numFmtId="218" formatCode="#,##0.0000"/>
    <numFmt numFmtId="219" formatCode="#,##0.0"/>
    <numFmt numFmtId="220" formatCode="&quot;R$&quot;#,##0.00"/>
    <numFmt numFmtId="221" formatCode="0.0000000000000"/>
    <numFmt numFmtId="222" formatCode="0.00000"/>
  </numFmts>
  <fonts count="57">
    <font>
      <sz val="10"/>
      <name val="Arial"/>
      <family val="0"/>
    </font>
    <font>
      <sz val="8"/>
      <name val="Arial"/>
      <family val="2"/>
    </font>
    <font>
      <b/>
      <sz val="10"/>
      <name val="Arial"/>
      <family val="2"/>
    </font>
    <font>
      <b/>
      <sz val="12"/>
      <name val="Arial"/>
      <family val="2"/>
    </font>
    <font>
      <u val="single"/>
      <sz val="7.5"/>
      <color indexed="12"/>
      <name val="Arial"/>
      <family val="2"/>
    </font>
    <font>
      <u val="single"/>
      <sz val="7.5"/>
      <color indexed="36"/>
      <name val="Arial"/>
      <family val="2"/>
    </font>
    <font>
      <b/>
      <sz val="8"/>
      <name val="Arial"/>
      <family val="2"/>
    </font>
    <font>
      <sz val="9"/>
      <name val="Arial"/>
      <family val="2"/>
    </font>
    <font>
      <b/>
      <sz val="9"/>
      <name val="Arial"/>
      <family val="2"/>
    </font>
    <font>
      <b/>
      <u val="single"/>
      <sz val="10"/>
      <name val="Arial"/>
      <family val="2"/>
    </font>
    <font>
      <b/>
      <i/>
      <sz val="8"/>
      <name val="Arial"/>
      <family val="2"/>
    </font>
    <font>
      <sz val="11"/>
      <color indexed="8"/>
      <name val="Calibri"/>
      <family val="2"/>
    </font>
    <font>
      <b/>
      <sz val="11"/>
      <color indexed="8"/>
      <name val="Calibri"/>
      <family val="2"/>
    </font>
    <font>
      <u val="single"/>
      <sz val="10"/>
      <color indexed="12"/>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9"/>
      <color indexed="8"/>
      <name val="Arial"/>
      <family val="2"/>
    </font>
    <font>
      <sz val="8"/>
      <color indexed="8"/>
      <name val="Arial"/>
      <family val="2"/>
    </font>
    <font>
      <sz val="11"/>
      <color indexed="8"/>
      <name val="Arial"/>
      <family val="0"/>
    </font>
    <font>
      <sz val="9"/>
      <color indexed="8"/>
      <name val="Arial"/>
      <family val="0"/>
    </font>
    <font>
      <b/>
      <u val="single"/>
      <sz val="12"/>
      <color indexed="8"/>
      <name val="Times New Roman"/>
      <family val="0"/>
    </font>
    <font>
      <sz val="12"/>
      <color indexed="8"/>
      <name val="Times New Roman"/>
      <family val="0"/>
    </font>
    <font>
      <b/>
      <u val="single"/>
      <sz val="14"/>
      <color indexed="8"/>
      <name val="Times New Roman"/>
      <family val="0"/>
    </font>
    <font>
      <sz val="14"/>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9"/>
      <color theme="1"/>
      <name val="Arial"/>
      <family val="2"/>
    </font>
    <font>
      <sz val="8"/>
      <color rgb="FF00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62"/>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style="medium"/>
    </border>
    <border>
      <left style="medium"/>
      <right style="hair"/>
      <top style="hair"/>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color indexed="63"/>
      </top>
      <bottom style="hair"/>
    </border>
    <border>
      <left style="medium"/>
      <right style="hair"/>
      <top style="hair"/>
      <bottom style="medium"/>
    </border>
    <border>
      <left style="medium"/>
      <right style="medium"/>
      <top style="medium"/>
      <bottom style="medium"/>
    </border>
    <border>
      <left>
        <color indexed="63"/>
      </left>
      <right style="medium"/>
      <top style="thin"/>
      <bottom style="medium"/>
    </border>
    <border>
      <left style="thin"/>
      <right style="thin"/>
      <top style="thin"/>
      <bottom style="thin"/>
    </border>
    <border>
      <left style="medium"/>
      <right style="thin"/>
      <top style="thin"/>
      <bottom style="thin"/>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medium"/>
      <top style="thin"/>
      <bottom style="thin"/>
    </border>
    <border>
      <left style="medium"/>
      <right style="hair"/>
      <top>
        <color indexed="63"/>
      </top>
      <bottom style="hair"/>
    </border>
    <border>
      <left style="hair"/>
      <right style="medium"/>
      <top>
        <color indexed="63"/>
      </top>
      <bottom style="hair"/>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style="thin"/>
      <right>
        <color indexed="63"/>
      </right>
      <top>
        <color indexed="63"/>
      </top>
      <bottom style="mediu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medium"/>
      <top>
        <color indexed="63"/>
      </top>
      <bottom style="medium"/>
    </border>
    <border>
      <left>
        <color indexed="63"/>
      </left>
      <right style="medium"/>
      <top style="medium"/>
      <bottom style="thin"/>
    </border>
    <border>
      <left>
        <color indexed="63"/>
      </left>
      <right style="medium"/>
      <top style="thin"/>
      <bottom>
        <color indexed="63"/>
      </bottom>
    </border>
    <border>
      <left style="medium"/>
      <right style="thin"/>
      <top style="thin"/>
      <bottom style="medium"/>
    </border>
    <border>
      <left>
        <color indexed="63"/>
      </left>
      <right style="medium"/>
      <top>
        <color indexed="63"/>
      </top>
      <bottom style="thin"/>
    </border>
    <border>
      <left style="thin"/>
      <right style="medium"/>
      <top>
        <color indexed="63"/>
      </top>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4" fillId="28" borderId="1" applyNumberFormat="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11" fillId="0" borderId="0">
      <alignment/>
      <protection/>
    </xf>
    <xf numFmtId="0" fontId="11"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20" borderId="5" applyNumberFormat="0" applyAlignment="0" applyProtection="0"/>
    <xf numFmtId="175" fontId="0" fillId="0" borderId="0" applyFont="0" applyFill="0" applyBorder="0" applyAlignment="0" applyProtection="0"/>
    <xf numFmtId="43" fontId="11" fillId="0" borderId="0" applyFont="0" applyFill="0" applyBorder="0" applyAlignment="0" applyProtection="0"/>
    <xf numFmtId="177"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7" fontId="0" fillId="0" borderId="0" applyFont="0" applyFill="0" applyBorder="0" applyAlignment="0" applyProtection="0"/>
    <xf numFmtId="177" fontId="0" fillId="0" borderId="0" applyFont="0" applyFill="0" applyBorder="0" applyAlignment="0" applyProtection="0"/>
    <xf numFmtId="177" fontId="14" fillId="0" borderId="0" applyFont="0" applyFill="0" applyBorder="0" applyAlignment="0" applyProtection="0"/>
    <xf numFmtId="43" fontId="11" fillId="0" borderId="0" applyFont="0" applyFill="0" applyBorder="0" applyAlignment="0" applyProtection="0"/>
  </cellStyleXfs>
  <cellXfs count="293">
    <xf numFmtId="0" fontId="0" fillId="0" borderId="0" xfId="0" applyAlignment="1">
      <alignment/>
    </xf>
    <xf numFmtId="0" fontId="0" fillId="0" borderId="0" xfId="0"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Border="1" applyAlignment="1">
      <alignment vertical="center"/>
    </xf>
    <xf numFmtId="0" fontId="2" fillId="0" borderId="13" xfId="0" applyFont="1" applyFill="1" applyBorder="1" applyAlignment="1">
      <alignment horizontal="lef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 fillId="0" borderId="17" xfId="0" applyFont="1" applyBorder="1" applyAlignment="1">
      <alignment horizontal="center" vertical="center" wrapText="1"/>
    </xf>
    <xf numFmtId="2" fontId="1" fillId="0" borderId="18" xfId="72" applyNumberFormat="1" applyFont="1" applyFill="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19" xfId="0" applyNumberFormat="1" applyFont="1" applyBorder="1" applyAlignment="1">
      <alignment horizontal="center" vertical="center" wrapText="1"/>
    </xf>
    <xf numFmtId="177" fontId="1" fillId="0" borderId="18" xfId="72" applyFont="1" applyFill="1" applyBorder="1" applyAlignment="1">
      <alignment horizontal="center" vertical="center" wrapText="1"/>
    </xf>
    <xf numFmtId="4" fontId="1" fillId="0" borderId="20" xfId="0" applyNumberFormat="1" applyFont="1" applyBorder="1" applyAlignment="1">
      <alignment horizontal="center" vertical="center" wrapText="1"/>
    </xf>
    <xf numFmtId="4" fontId="1" fillId="0" borderId="21" xfId="0" applyNumberFormat="1" applyFont="1" applyBorder="1" applyAlignment="1">
      <alignment horizontal="center" vertical="center" wrapText="1"/>
    </xf>
    <xf numFmtId="2" fontId="1" fillId="0" borderId="20" xfId="72"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 fontId="6" fillId="0" borderId="0" xfId="0" applyNumberFormat="1" applyFont="1" applyBorder="1" applyAlignment="1">
      <alignment horizontal="center" vertical="center" wrapText="1"/>
    </xf>
    <xf numFmtId="4" fontId="0" fillId="0" borderId="0" xfId="0" applyNumberFormat="1" applyAlignment="1">
      <alignment/>
    </xf>
    <xf numFmtId="0" fontId="0" fillId="0" borderId="0" xfId="0" applyFont="1" applyAlignment="1">
      <alignment/>
    </xf>
    <xf numFmtId="0" fontId="6" fillId="0" borderId="22" xfId="0" applyFont="1" applyBorder="1" applyAlignment="1">
      <alignment horizontal="center" vertical="center" wrapText="1"/>
    </xf>
    <xf numFmtId="49" fontId="6" fillId="0" borderId="23" xfId="0" applyNumberFormat="1" applyFont="1" applyBorder="1" applyAlignment="1">
      <alignment horizontal="center" vertical="center" wrapText="1"/>
    </xf>
    <xf numFmtId="0" fontId="6" fillId="0" borderId="23" xfId="0" applyFont="1" applyBorder="1" applyAlignment="1">
      <alignment horizontal="left" vertical="center" wrapText="1"/>
    </xf>
    <xf numFmtId="2" fontId="1" fillId="0" borderId="23" xfId="72" applyNumberFormat="1" applyFont="1" applyFill="1" applyBorder="1" applyAlignment="1">
      <alignment horizontal="center" vertical="center" wrapText="1"/>
    </xf>
    <xf numFmtId="4" fontId="1" fillId="0" borderId="23" xfId="0" applyNumberFormat="1" applyFont="1" applyBorder="1" applyAlignment="1">
      <alignment horizontal="center" vertical="center" wrapText="1"/>
    </xf>
    <xf numFmtId="4" fontId="1" fillId="0" borderId="24"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8" xfId="0" applyFont="1" applyBorder="1" applyAlignment="1">
      <alignment horizontal="left" vertical="center" wrapText="1"/>
    </xf>
    <xf numFmtId="0" fontId="6" fillId="0" borderId="17" xfId="0" applyFont="1" applyBorder="1" applyAlignment="1">
      <alignment horizontal="center" vertical="center" wrapText="1"/>
    </xf>
    <xf numFmtId="49" fontId="6" fillId="0" borderId="18" xfId="0" applyNumberFormat="1" applyFont="1" applyBorder="1" applyAlignment="1">
      <alignment horizontal="center" vertical="center" wrapText="1"/>
    </xf>
    <xf numFmtId="0" fontId="6" fillId="0" borderId="18" xfId="0" applyFont="1" applyBorder="1" applyAlignment="1">
      <alignment horizontal="left" vertical="center" wrapText="1"/>
    </xf>
    <xf numFmtId="0" fontId="1" fillId="0" borderId="18" xfId="0" applyFont="1" applyBorder="1" applyAlignment="1">
      <alignment horizontal="center" vertical="center" wrapText="1"/>
    </xf>
    <xf numFmtId="49" fontId="6" fillId="0" borderId="25" xfId="0" applyNumberFormat="1" applyFont="1" applyFill="1" applyBorder="1" applyAlignment="1">
      <alignment vertical="center"/>
    </xf>
    <xf numFmtId="49" fontId="1" fillId="0" borderId="26"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 fillId="0" borderId="20" xfId="0" applyFont="1" applyBorder="1" applyAlignment="1">
      <alignment horizontal="left" vertical="center" wrapText="1"/>
    </xf>
    <xf numFmtId="4" fontId="6" fillId="0" borderId="27" xfId="0" applyNumberFormat="1" applyFont="1" applyBorder="1" applyAlignment="1">
      <alignment horizontal="center" vertical="center" wrapText="1"/>
    </xf>
    <xf numFmtId="10" fontId="2" fillId="0" borderId="28" xfId="58" applyNumberFormat="1" applyFont="1" applyFill="1" applyBorder="1" applyAlignment="1">
      <alignment horizontal="center" vertical="center"/>
    </xf>
    <xf numFmtId="0" fontId="0" fillId="32" borderId="0" xfId="52" applyFill="1">
      <alignment/>
      <protection/>
    </xf>
    <xf numFmtId="0" fontId="0" fillId="32" borderId="0" xfId="52" applyFill="1" applyAlignment="1">
      <alignment wrapText="1"/>
      <protection/>
    </xf>
    <xf numFmtId="0" fontId="0" fillId="0" borderId="0" xfId="52">
      <alignment/>
      <protection/>
    </xf>
    <xf numFmtId="2" fontId="0" fillId="0" borderId="0" xfId="52" applyNumberFormat="1">
      <alignment/>
      <protection/>
    </xf>
    <xf numFmtId="0" fontId="0" fillId="0" borderId="0" xfId="52" applyAlignment="1">
      <alignment/>
      <protection/>
    </xf>
    <xf numFmtId="0" fontId="0" fillId="0" borderId="0" xfId="52" applyAlignment="1">
      <alignment horizontal="center" vertical="center"/>
      <protection/>
    </xf>
    <xf numFmtId="2" fontId="2" fillId="0" borderId="29" xfId="52" applyNumberFormat="1" applyFont="1" applyBorder="1" applyAlignment="1">
      <alignment horizontal="center"/>
      <protection/>
    </xf>
    <xf numFmtId="2" fontId="0" fillId="0" borderId="29" xfId="52" applyNumberFormat="1" applyBorder="1" applyAlignment="1">
      <alignment horizontal="center"/>
      <protection/>
    </xf>
    <xf numFmtId="0" fontId="0" fillId="0" borderId="29" xfId="52" applyBorder="1" applyAlignment="1">
      <alignment horizontal="center"/>
      <protection/>
    </xf>
    <xf numFmtId="2" fontId="6" fillId="0" borderId="18" xfId="72" applyNumberFormat="1" applyFont="1" applyFill="1" applyBorder="1" applyAlignment="1">
      <alignment horizontal="center" vertical="center" wrapText="1"/>
    </xf>
    <xf numFmtId="4" fontId="6" fillId="0" borderId="18" xfId="0" applyNumberFormat="1" applyFont="1" applyBorder="1" applyAlignment="1">
      <alignment horizontal="center" vertical="center" wrapText="1"/>
    </xf>
    <xf numFmtId="4" fontId="6" fillId="0" borderId="19" xfId="0" applyNumberFormat="1" applyFont="1" applyBorder="1" applyAlignment="1">
      <alignment horizontal="center" vertical="center" wrapText="1"/>
    </xf>
    <xf numFmtId="0" fontId="2" fillId="0" borderId="0" xfId="0" applyFont="1" applyAlignment="1">
      <alignment/>
    </xf>
    <xf numFmtId="0" fontId="6"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8" xfId="0" applyFont="1" applyBorder="1" applyAlignment="1">
      <alignment horizontal="left" vertical="center" wrapText="1"/>
    </xf>
    <xf numFmtId="167" fontId="0" fillId="0" borderId="0" xfId="0" applyNumberFormat="1" applyAlignment="1">
      <alignment/>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left" vertical="center" wrapText="1"/>
    </xf>
    <xf numFmtId="4" fontId="6" fillId="0" borderId="18"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4" fontId="0" fillId="0" borderId="0" xfId="0" applyNumberFormat="1" applyFill="1" applyAlignment="1">
      <alignment/>
    </xf>
    <xf numFmtId="0" fontId="0" fillId="0" borderId="0" xfId="0" applyFill="1" applyAlignment="1">
      <alignment/>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8" xfId="0" applyFont="1" applyFill="1" applyBorder="1" applyAlignment="1" quotePrefix="1">
      <alignment horizontal="center" vertical="center" wrapText="1"/>
    </xf>
    <xf numFmtId="4" fontId="1" fillId="0" borderId="18"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0" fontId="0" fillId="33" borderId="0" xfId="0" applyFill="1" applyAlignment="1">
      <alignment/>
    </xf>
    <xf numFmtId="0" fontId="0" fillId="34" borderId="0" xfId="0" applyFill="1" applyAlignment="1">
      <alignment/>
    </xf>
    <xf numFmtId="0" fontId="0" fillId="0" borderId="29" xfId="0" applyBorder="1" applyAlignment="1">
      <alignment horizontal="center" vertical="center"/>
    </xf>
    <xf numFmtId="0" fontId="0" fillId="0" borderId="29" xfId="0" applyBorder="1" applyAlignment="1">
      <alignment/>
    </xf>
    <xf numFmtId="0" fontId="0" fillId="0" borderId="29" xfId="0" applyBorder="1" applyAlignment="1">
      <alignment/>
    </xf>
    <xf numFmtId="0" fontId="0" fillId="0" borderId="29" xfId="0" applyBorder="1" applyAlignment="1">
      <alignment horizontal="center"/>
    </xf>
    <xf numFmtId="0" fontId="0" fillId="0" borderId="29" xfId="0" applyBorder="1" applyAlignment="1">
      <alignment vertical="center"/>
    </xf>
    <xf numFmtId="0" fontId="0" fillId="33" borderId="29" xfId="0" applyFill="1" applyBorder="1" applyAlignment="1">
      <alignment horizontal="center" vertical="center"/>
    </xf>
    <xf numFmtId="0" fontId="0" fillId="34" borderId="29" xfId="0" applyFill="1" applyBorder="1" applyAlignment="1">
      <alignment horizontal="center" vertical="center"/>
    </xf>
    <xf numFmtId="0" fontId="0" fillId="0" borderId="29" xfId="0" applyBorder="1" applyAlignment="1">
      <alignment horizontal="center" vertical="justify"/>
    </xf>
    <xf numFmtId="0" fontId="0" fillId="0" borderId="29" xfId="0" applyBorder="1" applyAlignment="1">
      <alignment vertical="justify"/>
    </xf>
    <xf numFmtId="0" fontId="0" fillId="33" borderId="29" xfId="0" applyFill="1" applyBorder="1" applyAlignment="1">
      <alignment horizontal="center"/>
    </xf>
    <xf numFmtId="0" fontId="0" fillId="34" borderId="29" xfId="0" applyFill="1" applyBorder="1" applyAlignment="1">
      <alignment horizontal="center"/>
    </xf>
    <xf numFmtId="167" fontId="0" fillId="0" borderId="29" xfId="0" applyNumberFormat="1" applyBorder="1" applyAlignment="1">
      <alignment horizontal="center"/>
    </xf>
    <xf numFmtId="185" fontId="0" fillId="0" borderId="29" xfId="0" applyNumberFormat="1" applyBorder="1" applyAlignment="1">
      <alignment horizontal="center"/>
    </xf>
    <xf numFmtId="4" fontId="0" fillId="0" borderId="29" xfId="0" applyNumberFormat="1" applyBorder="1" applyAlignment="1">
      <alignment horizontal="center"/>
    </xf>
    <xf numFmtId="4" fontId="0" fillId="33" borderId="29" xfId="0" applyNumberFormat="1" applyFill="1" applyBorder="1" applyAlignment="1">
      <alignment horizontal="center"/>
    </xf>
    <xf numFmtId="167" fontId="12" fillId="0" borderId="29" xfId="0" applyNumberFormat="1" applyFont="1" applyBorder="1" applyAlignment="1">
      <alignment/>
    </xf>
    <xf numFmtId="0" fontId="2" fillId="0" borderId="29" xfId="0" applyFont="1" applyBorder="1" applyAlignment="1">
      <alignment horizontal="center" vertical="center"/>
    </xf>
    <xf numFmtId="0" fontId="2" fillId="0" borderId="29" xfId="0" applyFont="1" applyBorder="1" applyAlignment="1">
      <alignment/>
    </xf>
    <xf numFmtId="0" fontId="2" fillId="0" borderId="29" xfId="0" applyFont="1" applyBorder="1" applyAlignment="1">
      <alignment horizontal="center"/>
    </xf>
    <xf numFmtId="0" fontId="2" fillId="33" borderId="29" xfId="0" applyFont="1" applyFill="1" applyBorder="1" applyAlignment="1">
      <alignment horizontal="center"/>
    </xf>
    <xf numFmtId="0" fontId="2" fillId="34" borderId="29" xfId="0" applyFont="1" applyFill="1" applyBorder="1" applyAlignment="1">
      <alignment horizontal="center"/>
    </xf>
    <xf numFmtId="167" fontId="2" fillId="0" borderId="29" xfId="0" applyNumberFormat="1" applyFont="1" applyBorder="1" applyAlignment="1">
      <alignment horizontal="center"/>
    </xf>
    <xf numFmtId="185" fontId="2" fillId="0" borderId="29" xfId="0" applyNumberFormat="1" applyFont="1" applyBorder="1" applyAlignment="1">
      <alignment horizontal="center"/>
    </xf>
    <xf numFmtId="0" fontId="2" fillId="0" borderId="29" xfId="72" applyNumberFormat="1" applyFont="1" applyBorder="1" applyAlignment="1">
      <alignment horizontal="center" vertical="center"/>
    </xf>
    <xf numFmtId="10" fontId="0" fillId="0" borderId="0" xfId="58" applyNumberFormat="1" applyFont="1" applyAlignment="1">
      <alignment/>
    </xf>
    <xf numFmtId="185" fontId="0" fillId="0" borderId="0" xfId="0" applyNumberFormat="1" applyAlignment="1">
      <alignment/>
    </xf>
    <xf numFmtId="0" fontId="2" fillId="35" borderId="29" xfId="0" applyFont="1" applyFill="1" applyBorder="1" applyAlignment="1">
      <alignment horizontal="center" vertical="center"/>
    </xf>
    <xf numFmtId="0" fontId="2" fillId="35" borderId="29" xfId="0" applyFont="1" applyFill="1" applyBorder="1" applyAlignment="1">
      <alignment/>
    </xf>
    <xf numFmtId="0" fontId="2" fillId="35" borderId="29" xfId="0" applyFont="1" applyFill="1" applyBorder="1" applyAlignment="1">
      <alignment horizontal="center"/>
    </xf>
    <xf numFmtId="185" fontId="2" fillId="35" borderId="29" xfId="0" applyNumberFormat="1" applyFont="1" applyFill="1" applyBorder="1" applyAlignment="1">
      <alignment horizontal="center"/>
    </xf>
    <xf numFmtId="167" fontId="2" fillId="35" borderId="29" xfId="0" applyNumberFormat="1" applyFont="1" applyFill="1" applyBorder="1" applyAlignment="1">
      <alignment horizontal="center"/>
    </xf>
    <xf numFmtId="0" fontId="2" fillId="35" borderId="0" xfId="0" applyFont="1" applyFill="1" applyAlignment="1">
      <alignment/>
    </xf>
    <xf numFmtId="0" fontId="2" fillId="35" borderId="29" xfId="72" applyNumberFormat="1" applyFont="1" applyFill="1" applyBorder="1" applyAlignment="1">
      <alignment horizontal="center" vertical="center"/>
    </xf>
    <xf numFmtId="0" fontId="0" fillId="35" borderId="29" xfId="0" applyFill="1" applyBorder="1" applyAlignment="1">
      <alignment horizontal="center"/>
    </xf>
    <xf numFmtId="0" fontId="0" fillId="35" borderId="29" xfId="0" applyFill="1" applyBorder="1" applyAlignment="1">
      <alignment/>
    </xf>
    <xf numFmtId="185" fontId="0" fillId="35" borderId="29" xfId="0" applyNumberFormat="1" applyFill="1" applyBorder="1" applyAlignment="1">
      <alignment horizontal="center"/>
    </xf>
    <xf numFmtId="167" fontId="0" fillId="35" borderId="29" xfId="0" applyNumberFormat="1" applyFill="1" applyBorder="1" applyAlignment="1">
      <alignment horizontal="center"/>
    </xf>
    <xf numFmtId="0" fontId="0" fillId="35" borderId="0" xfId="0" applyFill="1" applyAlignment="1">
      <alignment/>
    </xf>
    <xf numFmtId="10" fontId="2" fillId="35" borderId="0" xfId="0" applyNumberFormat="1" applyFont="1" applyFill="1" applyAlignment="1">
      <alignment/>
    </xf>
    <xf numFmtId="0" fontId="0" fillId="0" borderId="29" xfId="0" applyFont="1" applyBorder="1" applyAlignment="1">
      <alignment/>
    </xf>
    <xf numFmtId="0" fontId="0" fillId="0" borderId="0" xfId="0" applyFont="1" applyAlignment="1">
      <alignment/>
    </xf>
    <xf numFmtId="2" fontId="0" fillId="0" borderId="0" xfId="0" applyNumberFormat="1" applyFont="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2" fillId="32" borderId="29" xfId="52" applyFont="1" applyFill="1" applyBorder="1" applyAlignment="1">
      <alignment horizontal="center" vertical="center"/>
      <protection/>
    </xf>
    <xf numFmtId="0" fontId="2" fillId="32" borderId="29" xfId="52" applyFont="1" applyFill="1" applyBorder="1" applyAlignment="1">
      <alignment horizontal="center" vertical="center" wrapText="1"/>
      <protection/>
    </xf>
    <xf numFmtId="49" fontId="7" fillId="32" borderId="29" xfId="52" applyNumberFormat="1" applyFont="1" applyFill="1" applyBorder="1" applyAlignment="1">
      <alignment horizontal="center" vertical="top" wrapText="1"/>
      <protection/>
    </xf>
    <xf numFmtId="10" fontId="8" fillId="32" borderId="29" xfId="52" applyNumberFormat="1" applyFont="1" applyFill="1" applyBorder="1" applyAlignment="1">
      <alignment vertical="top" wrapText="1"/>
      <protection/>
    </xf>
    <xf numFmtId="10" fontId="7" fillId="32" borderId="29" xfId="52" applyNumberFormat="1" applyFont="1" applyFill="1" applyBorder="1" applyAlignment="1">
      <alignment vertical="top" wrapText="1"/>
      <protection/>
    </xf>
    <xf numFmtId="10" fontId="7" fillId="32" borderId="29" xfId="73" applyNumberFormat="1" applyFont="1" applyFill="1" applyBorder="1" applyAlignment="1">
      <alignment vertical="top" wrapText="1"/>
    </xf>
    <xf numFmtId="182" fontId="7" fillId="32" borderId="29" xfId="52" applyNumberFormat="1" applyFont="1" applyFill="1" applyBorder="1" applyAlignment="1">
      <alignment vertical="top" wrapText="1"/>
      <protection/>
    </xf>
    <xf numFmtId="0" fontId="55" fillId="0" borderId="29" xfId="0" applyFont="1" applyFill="1" applyBorder="1" applyAlignment="1">
      <alignment horizontal="left" vertical="center"/>
    </xf>
    <xf numFmtId="49" fontId="8" fillId="32" borderId="29" xfId="52" applyNumberFormat="1" applyFont="1" applyFill="1" applyBorder="1" applyAlignment="1">
      <alignment horizontal="center" vertical="top" wrapText="1"/>
      <protection/>
    </xf>
    <xf numFmtId="0" fontId="2" fillId="32" borderId="30" xfId="52" applyFont="1" applyFill="1" applyBorder="1" applyAlignment="1">
      <alignment horizontal="center" vertical="center"/>
      <protection/>
    </xf>
    <xf numFmtId="49" fontId="8" fillId="32" borderId="31" xfId="52" applyNumberFormat="1" applyFont="1" applyFill="1" applyBorder="1" applyAlignment="1">
      <alignment horizontal="center" vertical="top" wrapText="1"/>
      <protection/>
    </xf>
    <xf numFmtId="182" fontId="8" fillId="32" borderId="31" xfId="52" applyNumberFormat="1" applyFont="1" applyFill="1" applyBorder="1" applyAlignment="1">
      <alignment vertical="top" wrapText="1"/>
      <protection/>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220" fontId="7" fillId="32" borderId="29" xfId="48" applyNumberFormat="1" applyFont="1" applyFill="1" applyBorder="1" applyAlignment="1">
      <alignment vertical="top" wrapText="1"/>
    </xf>
    <xf numFmtId="220" fontId="7" fillId="32" borderId="29" xfId="52" applyNumberFormat="1" applyFont="1" applyFill="1" applyBorder="1" applyAlignment="1">
      <alignment vertical="top" wrapText="1"/>
      <protection/>
    </xf>
    <xf numFmtId="0" fontId="0" fillId="0" borderId="0" xfId="0" applyFont="1" applyAlignment="1">
      <alignment vertical="center"/>
    </xf>
    <xf numFmtId="0" fontId="0" fillId="0" borderId="0" xfId="0" applyAlignment="1">
      <alignment vertical="center"/>
    </xf>
    <xf numFmtId="2" fontId="0" fillId="0" borderId="0" xfId="0" applyNumberFormat="1" applyFont="1" applyAlignment="1">
      <alignment vertical="center"/>
    </xf>
    <xf numFmtId="0" fontId="0" fillId="0" borderId="0" xfId="0" applyFont="1" applyAlignment="1">
      <alignment vertical="center"/>
    </xf>
    <xf numFmtId="0" fontId="2" fillId="32" borderId="34" xfId="52" applyFont="1" applyFill="1" applyBorder="1" applyAlignment="1">
      <alignment horizontal="center" vertical="center"/>
      <protection/>
    </xf>
    <xf numFmtId="10" fontId="7" fillId="32" borderId="35" xfId="52" applyNumberFormat="1" applyFont="1" applyFill="1" applyBorder="1" applyAlignment="1">
      <alignment vertical="top" wrapText="1"/>
      <protection/>
    </xf>
    <xf numFmtId="0" fontId="0" fillId="36" borderId="0" xfId="0" applyFont="1" applyFill="1" applyAlignment="1">
      <alignment/>
    </xf>
    <xf numFmtId="2" fontId="0" fillId="36" borderId="0" xfId="0" applyNumberFormat="1" applyFont="1" applyFill="1" applyAlignment="1">
      <alignment vertical="center"/>
    </xf>
    <xf numFmtId="0" fontId="6" fillId="37" borderId="36" xfId="0" applyNumberFormat="1" applyFont="1" applyFill="1" applyBorder="1" applyAlignment="1">
      <alignment horizontal="center" vertical="center" wrapText="1"/>
    </xf>
    <xf numFmtId="0" fontId="6" fillId="37" borderId="25" xfId="0" applyNumberFormat="1" applyFont="1" applyFill="1" applyBorder="1" applyAlignment="1">
      <alignment horizontal="center" vertical="center" wrapText="1"/>
    </xf>
    <xf numFmtId="0" fontId="6" fillId="37" borderId="25" xfId="0" applyNumberFormat="1" applyFont="1" applyFill="1" applyBorder="1" applyAlignment="1">
      <alignment horizontal="left" vertical="center" wrapText="1"/>
    </xf>
    <xf numFmtId="0" fontId="1" fillId="37" borderId="25" xfId="72" applyNumberFormat="1" applyFont="1" applyFill="1" applyBorder="1" applyAlignment="1">
      <alignment horizontal="center" vertical="center" wrapText="1"/>
    </xf>
    <xf numFmtId="4" fontId="1" fillId="37" borderId="25" xfId="0" applyNumberFormat="1" applyFont="1" applyFill="1" applyBorder="1" applyAlignment="1">
      <alignment horizontal="center" vertical="center" wrapText="1"/>
    </xf>
    <xf numFmtId="4" fontId="6" fillId="37" borderId="25" xfId="0" applyNumberFormat="1" applyFont="1" applyFill="1" applyBorder="1" applyAlignment="1">
      <alignment horizontal="center" vertical="center" wrapText="1"/>
    </xf>
    <xf numFmtId="4" fontId="6" fillId="37" borderId="37" xfId="0" applyNumberFormat="1" applyFont="1" applyFill="1" applyBorder="1" applyAlignment="1">
      <alignment horizontal="center" vertical="center" wrapText="1"/>
    </xf>
    <xf numFmtId="4" fontId="6" fillId="37" borderId="19" xfId="0" applyNumberFormat="1" applyFont="1" applyFill="1" applyBorder="1" applyAlignment="1">
      <alignment horizontal="center" vertical="center" wrapText="1"/>
    </xf>
    <xf numFmtId="0" fontId="6" fillId="37" borderId="25" xfId="72" applyNumberFormat="1" applyFont="1" applyFill="1" applyBorder="1" applyAlignment="1">
      <alignment horizontal="center" vertical="center" wrapText="1"/>
    </xf>
    <xf numFmtId="0" fontId="6" fillId="37" borderId="18" xfId="0" applyNumberFormat="1" applyFont="1" applyFill="1" applyBorder="1" applyAlignment="1">
      <alignment horizontal="center" vertical="center" wrapText="1"/>
    </xf>
    <xf numFmtId="0" fontId="6" fillId="37" borderId="18" xfId="0" applyNumberFormat="1" applyFont="1" applyFill="1" applyBorder="1" applyAlignment="1">
      <alignment horizontal="left" vertical="center" wrapText="1"/>
    </xf>
    <xf numFmtId="0" fontId="1" fillId="37" borderId="18" xfId="72" applyNumberFormat="1" applyFont="1" applyFill="1" applyBorder="1" applyAlignment="1">
      <alignment horizontal="center" vertical="center" wrapText="1"/>
    </xf>
    <xf numFmtId="4" fontId="1" fillId="37" borderId="18" xfId="0" applyNumberFormat="1" applyFont="1" applyFill="1" applyBorder="1" applyAlignment="1">
      <alignment horizontal="center" vertical="center" wrapText="1"/>
    </xf>
    <xf numFmtId="4" fontId="0" fillId="0" borderId="0" xfId="0" applyNumberFormat="1" applyFont="1" applyAlignment="1">
      <alignment/>
    </xf>
    <xf numFmtId="185" fontId="6" fillId="37" borderId="27" xfId="0" applyNumberFormat="1" applyFont="1" applyFill="1" applyBorder="1" applyAlignment="1">
      <alignment horizontal="center" vertical="center" wrapText="1"/>
    </xf>
    <xf numFmtId="0" fontId="55" fillId="0" borderId="29" xfId="0" applyFont="1" applyFill="1" applyBorder="1" applyAlignment="1">
      <alignment horizontal="left" vertical="center" wrapText="1"/>
    </xf>
    <xf numFmtId="0" fontId="0" fillId="0" borderId="29" xfId="52" applyBorder="1" applyAlignment="1">
      <alignment horizontal="right"/>
      <protection/>
    </xf>
    <xf numFmtId="10" fontId="0" fillId="0" borderId="29" xfId="59" applyNumberFormat="1" applyFont="1" applyBorder="1" applyAlignment="1">
      <alignment horizontal="center"/>
    </xf>
    <xf numFmtId="10" fontId="0" fillId="0" borderId="29" xfId="52" applyNumberFormat="1" applyBorder="1" applyAlignment="1">
      <alignment horizontal="center"/>
      <protection/>
    </xf>
    <xf numFmtId="0" fontId="2" fillId="0" borderId="29" xfId="52" applyFont="1" applyBorder="1" applyAlignment="1">
      <alignment horizontal="center"/>
      <protection/>
    </xf>
    <xf numFmtId="2" fontId="2" fillId="0" borderId="29" xfId="52" applyNumberFormat="1" applyFont="1" applyBorder="1" applyAlignment="1">
      <alignment horizontal="center"/>
      <protection/>
    </xf>
    <xf numFmtId="0" fontId="0" fillId="0" borderId="0" xfId="52" applyAlignment="1">
      <alignment horizontal="center" vertical="center"/>
      <protection/>
    </xf>
    <xf numFmtId="10" fontId="2" fillId="0" borderId="29" xfId="59" applyNumberFormat="1" applyFont="1" applyBorder="1" applyAlignment="1">
      <alignment horizontal="center" vertical="center"/>
    </xf>
    <xf numFmtId="0" fontId="2" fillId="0" borderId="34" xfId="52" applyFont="1" applyBorder="1" applyAlignment="1">
      <alignment horizontal="center" vertical="top"/>
      <protection/>
    </xf>
    <xf numFmtId="0" fontId="2" fillId="0" borderId="38" xfId="52" applyFont="1" applyBorder="1" applyAlignment="1">
      <alignment horizontal="center" vertical="top"/>
      <protection/>
    </xf>
    <xf numFmtId="0" fontId="2" fillId="0" borderId="29" xfId="52" applyFont="1" applyBorder="1" applyAlignment="1">
      <alignment horizontal="center" vertical="center"/>
      <protection/>
    </xf>
    <xf numFmtId="0" fontId="2" fillId="0" borderId="39" xfId="52" applyFont="1" applyBorder="1" applyAlignment="1">
      <alignment horizontal="center"/>
      <protection/>
    </xf>
    <xf numFmtId="0" fontId="2" fillId="0" borderId="40" xfId="52" applyFont="1" applyBorder="1" applyAlignment="1">
      <alignment horizontal="center"/>
      <protection/>
    </xf>
    <xf numFmtId="0" fontId="2" fillId="0" borderId="41" xfId="52" applyFont="1" applyBorder="1" applyAlignment="1">
      <alignment horizontal="left" vertical="center"/>
      <protection/>
    </xf>
    <xf numFmtId="0" fontId="0" fillId="0" borderId="0" xfId="0" applyAlignment="1">
      <alignment horizontal="center" wrapText="1"/>
    </xf>
    <xf numFmtId="0" fontId="0" fillId="0" borderId="0" xfId="0" applyAlignment="1">
      <alignment horizontal="center"/>
    </xf>
    <xf numFmtId="0" fontId="1" fillId="0" borderId="42" xfId="0" applyFont="1" applyBorder="1" applyAlignment="1">
      <alignment horizontal="center" vertical="center"/>
    </xf>
    <xf numFmtId="0" fontId="1" fillId="0" borderId="0" xfId="0" applyFont="1" applyBorder="1" applyAlignment="1">
      <alignment horizontal="center" vertical="center"/>
    </xf>
    <xf numFmtId="0" fontId="0" fillId="0" borderId="43" xfId="0" applyBorder="1" applyAlignment="1">
      <alignment horizontal="center" vertical="center"/>
    </xf>
    <xf numFmtId="0" fontId="2" fillId="0" borderId="4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6" fillId="0" borderId="32"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46" xfId="0" applyFont="1" applyFill="1" applyBorder="1" applyAlignment="1">
      <alignment horizontal="center" vertical="center" wrapText="1"/>
    </xf>
    <xf numFmtId="0" fontId="0" fillId="0" borderId="46" xfId="0" applyFill="1" applyBorder="1" applyAlignment="1">
      <alignment horizontal="center"/>
    </xf>
    <xf numFmtId="0" fontId="0" fillId="0" borderId="0" xfId="0" applyBorder="1" applyAlignment="1">
      <alignment horizontal="center" vertical="center"/>
    </xf>
    <xf numFmtId="0" fontId="3" fillId="0" borderId="32" xfId="0" applyFont="1" applyFill="1" applyBorder="1" applyAlignment="1">
      <alignment horizontal="center"/>
    </xf>
    <xf numFmtId="0" fontId="3" fillId="0" borderId="15" xfId="0" applyFont="1" applyFill="1" applyBorder="1" applyAlignment="1">
      <alignment horizontal="center"/>
    </xf>
    <xf numFmtId="0" fontId="3" fillId="0" borderId="33" xfId="0" applyFont="1" applyFill="1" applyBorder="1" applyAlignment="1">
      <alignment horizontal="center"/>
    </xf>
    <xf numFmtId="0" fontId="2" fillId="0" borderId="48" xfId="0" applyFont="1" applyFill="1" applyBorder="1" applyAlignment="1">
      <alignment horizontal="left" vertical="center"/>
    </xf>
    <xf numFmtId="0" fontId="2" fillId="0" borderId="47" xfId="0" applyFont="1" applyFill="1" applyBorder="1" applyAlignment="1">
      <alignment horizontal="left" vertical="center"/>
    </xf>
    <xf numFmtId="0" fontId="2" fillId="0" borderId="4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50" xfId="0" applyFont="1" applyFill="1" applyBorder="1" applyAlignment="1">
      <alignment horizontal="left" vertical="center"/>
    </xf>
    <xf numFmtId="0" fontId="2" fillId="0" borderId="35" xfId="0" applyFont="1" applyFill="1" applyBorder="1" applyAlignment="1">
      <alignment horizontal="left" vertical="center"/>
    </xf>
    <xf numFmtId="0" fontId="2" fillId="0" borderId="51" xfId="0" applyFont="1" applyFill="1" applyBorder="1" applyAlignment="1">
      <alignment horizontal="left" vertical="top"/>
    </xf>
    <xf numFmtId="0" fontId="2" fillId="0" borderId="52" xfId="0" applyFont="1" applyFill="1" applyBorder="1" applyAlignment="1">
      <alignment horizontal="left" vertical="top"/>
    </xf>
    <xf numFmtId="0" fontId="2" fillId="0" borderId="53" xfId="0" applyFont="1" applyFill="1" applyBorder="1" applyAlignment="1">
      <alignment horizontal="left" vertical="top"/>
    </xf>
    <xf numFmtId="0" fontId="2" fillId="0" borderId="44" xfId="0" applyFont="1" applyFill="1" applyBorder="1" applyAlignment="1">
      <alignment horizontal="left" vertical="top"/>
    </xf>
    <xf numFmtId="0" fontId="2" fillId="0" borderId="14" xfId="0" applyFont="1" applyFill="1" applyBorder="1" applyAlignment="1">
      <alignment horizontal="left" vertical="top"/>
    </xf>
    <xf numFmtId="0" fontId="2" fillId="0" borderId="41" xfId="0" applyFont="1" applyFill="1" applyBorder="1" applyAlignment="1">
      <alignment horizontal="left" vertical="top"/>
    </xf>
    <xf numFmtId="0" fontId="2" fillId="0" borderId="5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left" vertical="center"/>
    </xf>
    <xf numFmtId="0" fontId="2" fillId="0" borderId="58" xfId="0" applyFont="1" applyFill="1" applyBorder="1" applyAlignment="1">
      <alignment horizontal="left" vertical="center"/>
    </xf>
    <xf numFmtId="0" fontId="2" fillId="0" borderId="59" xfId="0" applyFont="1" applyFill="1" applyBorder="1" applyAlignment="1">
      <alignment horizontal="left" vertical="center"/>
    </xf>
    <xf numFmtId="0" fontId="0" fillId="0" borderId="29" xfId="0" applyBorder="1" applyAlignment="1">
      <alignment horizontal="left"/>
    </xf>
    <xf numFmtId="0" fontId="0" fillId="0" borderId="29" xfId="0" applyBorder="1" applyAlignment="1">
      <alignment horizontal="center"/>
    </xf>
    <xf numFmtId="0" fontId="12" fillId="0" borderId="29" xfId="0" applyFont="1" applyBorder="1" applyAlignment="1">
      <alignment horizontal="center"/>
    </xf>
    <xf numFmtId="0" fontId="0" fillId="0" borderId="29" xfId="0" applyBorder="1" applyAlignment="1">
      <alignment horizontal="left" vertical="justify"/>
    </xf>
    <xf numFmtId="0" fontId="0" fillId="0" borderId="29" xfId="0" applyBorder="1" applyAlignment="1">
      <alignment/>
    </xf>
    <xf numFmtId="0" fontId="2" fillId="0" borderId="29" xfId="0" applyFont="1" applyBorder="1" applyAlignment="1">
      <alignment horizontal="left"/>
    </xf>
    <xf numFmtId="0" fontId="2" fillId="0" borderId="29" xfId="0" applyFont="1" applyBorder="1" applyAlignment="1">
      <alignment/>
    </xf>
    <xf numFmtId="0" fontId="0" fillId="0" borderId="29" xfId="0" applyBorder="1" applyAlignment="1">
      <alignment horizontal="center" vertical="center"/>
    </xf>
    <xf numFmtId="0" fontId="0" fillId="0" borderId="29" xfId="0" applyBorder="1" applyAlignment="1">
      <alignment/>
    </xf>
    <xf numFmtId="0" fontId="0" fillId="0" borderId="29" xfId="0" applyBorder="1" applyAlignment="1">
      <alignment horizontal="left" vertical="center"/>
    </xf>
    <xf numFmtId="0" fontId="2" fillId="0" borderId="45"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6" fillId="37" borderId="32" xfId="0" applyFont="1" applyFill="1" applyBorder="1" applyAlignment="1">
      <alignment horizontal="right" vertical="center" wrapText="1"/>
    </xf>
    <xf numFmtId="0" fontId="6" fillId="37" borderId="15" xfId="0" applyFont="1" applyFill="1" applyBorder="1" applyAlignment="1">
      <alignment horizontal="right" vertical="center" wrapText="1"/>
    </xf>
    <xf numFmtId="0" fontId="6" fillId="37" borderId="33" xfId="0" applyFont="1" applyFill="1" applyBorder="1" applyAlignment="1">
      <alignment horizontal="right" vertical="center" wrapText="1"/>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54" xfId="0" applyBorder="1" applyAlignment="1">
      <alignment horizontal="center"/>
    </xf>
    <xf numFmtId="0" fontId="0" fillId="0" borderId="55" xfId="0" applyBorder="1" applyAlignment="1">
      <alignment horizontal="center"/>
    </xf>
    <xf numFmtId="0" fontId="0" fillId="0" borderId="55" xfId="0" applyBorder="1" applyAlignment="1">
      <alignment horizontal="center" wrapText="1"/>
    </xf>
    <xf numFmtId="0" fontId="0" fillId="0" borderId="56" xfId="0" applyBorder="1" applyAlignment="1">
      <alignment horizontal="center" wrapText="1"/>
    </xf>
    <xf numFmtId="0" fontId="0" fillId="0" borderId="45" xfId="0" applyFill="1" applyBorder="1" applyAlignment="1">
      <alignment horizontal="center"/>
    </xf>
    <xf numFmtId="0" fontId="0" fillId="0" borderId="60" xfId="0" applyFill="1" applyBorder="1" applyAlignment="1">
      <alignment horizont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8" fillId="0" borderId="30" xfId="52" applyFont="1" applyBorder="1" applyAlignment="1">
      <alignment horizontal="center" vertical="center" wrapText="1"/>
      <protection/>
    </xf>
    <xf numFmtId="0" fontId="55" fillId="0" borderId="29" xfId="0" applyFont="1" applyFill="1" applyBorder="1" applyAlignment="1">
      <alignment horizontal="left" vertical="center" wrapText="1"/>
    </xf>
    <xf numFmtId="0" fontId="0" fillId="0" borderId="51" xfId="0" applyBorder="1" applyAlignment="1">
      <alignment horizontal="center"/>
    </xf>
    <xf numFmtId="0" fontId="0" fillId="0" borderId="52" xfId="0" applyBorder="1" applyAlignment="1">
      <alignment horizontal="center"/>
    </xf>
    <xf numFmtId="0" fontId="0" fillId="0" borderId="61" xfId="0" applyBorder="1" applyAlignment="1">
      <alignment horizontal="center"/>
    </xf>
    <xf numFmtId="0" fontId="2" fillId="32" borderId="44" xfId="52" applyFont="1" applyFill="1" applyBorder="1" applyAlignment="1">
      <alignment horizontal="center" vertical="center"/>
      <protection/>
    </xf>
    <xf numFmtId="0" fontId="2" fillId="32" borderId="14" xfId="52" applyFont="1" applyFill="1" applyBorder="1" applyAlignment="1">
      <alignment horizontal="center" vertical="center"/>
      <protection/>
    </xf>
    <xf numFmtId="0" fontId="2" fillId="32" borderId="42" xfId="52" applyFont="1" applyFill="1" applyBorder="1" applyAlignment="1">
      <alignment horizontal="center" vertical="center"/>
      <protection/>
    </xf>
    <xf numFmtId="0" fontId="2" fillId="32" borderId="62" xfId="52" applyFont="1" applyFill="1" applyBorder="1" applyAlignment="1">
      <alignment horizontal="center" vertical="center"/>
      <protection/>
    </xf>
    <xf numFmtId="182" fontId="2" fillId="32" borderId="40" xfId="52" applyNumberFormat="1" applyFont="1" applyFill="1" applyBorder="1" applyAlignment="1">
      <alignment horizontal="center" vertical="center"/>
      <protection/>
    </xf>
    <xf numFmtId="182" fontId="2" fillId="32" borderId="42" xfId="52" applyNumberFormat="1" applyFont="1" applyFill="1" applyBorder="1" applyAlignment="1">
      <alignment horizontal="center" vertical="center"/>
      <protection/>
    </xf>
    <xf numFmtId="182" fontId="2" fillId="32" borderId="38" xfId="52" applyNumberFormat="1" applyFont="1" applyFill="1" applyBorder="1" applyAlignment="1">
      <alignment horizontal="center" vertical="center"/>
      <protection/>
    </xf>
    <xf numFmtId="182" fontId="2" fillId="32" borderId="43" xfId="52" applyNumberFormat="1" applyFont="1" applyFill="1" applyBorder="1" applyAlignment="1">
      <alignment horizontal="center" vertical="center"/>
      <protection/>
    </xf>
    <xf numFmtId="0" fontId="2" fillId="32" borderId="30" xfId="52" applyFont="1" applyFill="1" applyBorder="1" applyAlignment="1">
      <alignment horizontal="center" vertical="center" wrapText="1"/>
      <protection/>
    </xf>
    <xf numFmtId="0" fontId="2" fillId="32" borderId="29" xfId="52" applyFont="1" applyFill="1" applyBorder="1" applyAlignment="1">
      <alignment horizontal="center" vertical="center" wrapText="1"/>
      <protection/>
    </xf>
    <xf numFmtId="0" fontId="2" fillId="32" borderId="63" xfId="52" applyFont="1" applyFill="1" applyBorder="1" applyAlignment="1">
      <alignment horizontal="center" vertical="center" wrapText="1"/>
      <protection/>
    </xf>
    <xf numFmtId="0" fontId="2" fillId="32" borderId="31" xfId="52" applyFont="1" applyFill="1" applyBorder="1" applyAlignment="1">
      <alignment horizontal="center" vertical="center" wrapText="1"/>
      <protection/>
    </xf>
    <xf numFmtId="0" fontId="2" fillId="32" borderId="29" xfId="52" applyFont="1" applyFill="1" applyBorder="1" applyAlignment="1">
      <alignment horizontal="center" vertical="center"/>
      <protection/>
    </xf>
    <xf numFmtId="0" fontId="2" fillId="32" borderId="50" xfId="52" applyFont="1" applyFill="1" applyBorder="1" applyAlignment="1">
      <alignment horizontal="center" vertical="center"/>
      <protection/>
    </xf>
    <xf numFmtId="0" fontId="2" fillId="35" borderId="29" xfId="0" applyFont="1" applyFill="1" applyBorder="1" applyAlignment="1">
      <alignment horizontal="left"/>
    </xf>
    <xf numFmtId="0" fontId="2" fillId="35" borderId="29" xfId="0" applyFont="1" applyFill="1" applyBorder="1" applyAlignment="1">
      <alignment/>
    </xf>
    <xf numFmtId="0" fontId="0" fillId="0" borderId="29" xfId="0" applyFont="1" applyBorder="1" applyAlignment="1">
      <alignment horizontal="left"/>
    </xf>
    <xf numFmtId="0" fontId="0" fillId="35" borderId="29" xfId="0" applyFill="1" applyBorder="1" applyAlignment="1">
      <alignment horizontal="left"/>
    </xf>
    <xf numFmtId="182" fontId="2" fillId="32" borderId="62" xfId="52" applyNumberFormat="1" applyFont="1" applyFill="1" applyBorder="1" applyAlignment="1">
      <alignment horizontal="center" vertical="center"/>
      <protection/>
    </xf>
    <xf numFmtId="182" fontId="2" fillId="32" borderId="64" xfId="52" applyNumberFormat="1" applyFont="1" applyFill="1" applyBorder="1" applyAlignment="1">
      <alignment horizontal="center" vertical="center"/>
      <protection/>
    </xf>
    <xf numFmtId="0" fontId="2" fillId="32" borderId="65" xfId="52" applyFont="1" applyFill="1" applyBorder="1" applyAlignment="1">
      <alignment horizontal="center" vertical="center"/>
      <protection/>
    </xf>
    <xf numFmtId="10" fontId="7" fillId="32" borderId="35" xfId="73" applyNumberFormat="1" applyFont="1" applyFill="1" applyBorder="1" applyAlignment="1">
      <alignment vertical="top" wrapText="1"/>
    </xf>
    <xf numFmtId="182" fontId="7" fillId="32" borderId="35" xfId="52" applyNumberFormat="1" applyFont="1" applyFill="1" applyBorder="1" applyAlignment="1">
      <alignment vertical="top" wrapText="1"/>
      <protection/>
    </xf>
    <xf numFmtId="176" fontId="7" fillId="32" borderId="35" xfId="48" applyFont="1" applyFill="1" applyBorder="1" applyAlignment="1">
      <alignment vertical="top" wrapText="1"/>
    </xf>
    <xf numFmtId="220" fontId="7" fillId="32" borderId="35" xfId="52" applyNumberFormat="1" applyFont="1" applyFill="1" applyBorder="1" applyAlignment="1">
      <alignment vertical="top" wrapText="1"/>
      <protection/>
    </xf>
    <xf numFmtId="10" fontId="8" fillId="32" borderId="35" xfId="52" applyNumberFormat="1" applyFont="1" applyFill="1" applyBorder="1" applyAlignment="1">
      <alignment vertical="top" wrapText="1"/>
      <protection/>
    </xf>
    <xf numFmtId="10" fontId="0" fillId="32" borderId="0" xfId="52" applyNumberFormat="1" applyFill="1">
      <alignment/>
      <protection/>
    </xf>
    <xf numFmtId="176" fontId="0" fillId="32" borderId="0" xfId="48" applyFont="1" applyFill="1" applyAlignment="1">
      <alignment/>
    </xf>
    <xf numFmtId="0" fontId="1" fillId="38" borderId="36" xfId="0" applyNumberFormat="1" applyFont="1" applyFill="1" applyBorder="1" applyAlignment="1">
      <alignment horizontal="center" vertical="center" wrapText="1"/>
    </xf>
    <xf numFmtId="0" fontId="1" fillId="38" borderId="25" xfId="0" applyNumberFormat="1" applyFont="1" applyFill="1" applyBorder="1" applyAlignment="1">
      <alignment horizontal="center" vertical="center" wrapText="1"/>
    </xf>
    <xf numFmtId="0" fontId="1" fillId="38" borderId="25" xfId="0" applyNumberFormat="1" applyFont="1" applyFill="1" applyBorder="1" applyAlignment="1">
      <alignment horizontal="left" vertical="center" wrapText="1"/>
    </xf>
    <xf numFmtId="4" fontId="1" fillId="38" borderId="18" xfId="72" applyNumberFormat="1" applyFont="1" applyFill="1" applyBorder="1" applyAlignment="1">
      <alignment horizontal="center" vertical="center" wrapText="1"/>
    </xf>
    <xf numFmtId="4" fontId="1" fillId="38" borderId="25" xfId="0" applyNumberFormat="1" applyFont="1" applyFill="1" applyBorder="1" applyAlignment="1">
      <alignment horizontal="center" vertical="center" wrapText="1"/>
    </xf>
    <xf numFmtId="4" fontId="1" fillId="38" borderId="18" xfId="0" applyNumberFormat="1" applyFont="1" applyFill="1" applyBorder="1" applyAlignment="1">
      <alignment horizontal="center" vertical="center" wrapText="1"/>
    </xf>
    <xf numFmtId="4" fontId="1" fillId="38" borderId="19" xfId="0" applyNumberFormat="1" applyFont="1" applyFill="1" applyBorder="1" applyAlignment="1">
      <alignment horizontal="center" vertical="center" wrapText="1"/>
    </xf>
    <xf numFmtId="49" fontId="1" fillId="38" borderId="18" xfId="0" applyNumberFormat="1" applyFont="1" applyFill="1" applyBorder="1" applyAlignment="1">
      <alignment horizontal="center" vertical="center" wrapText="1"/>
    </xf>
    <xf numFmtId="0" fontId="56" fillId="38" borderId="18" xfId="0" applyFont="1" applyFill="1" applyBorder="1" applyAlignment="1">
      <alignment vertical="center" wrapText="1"/>
    </xf>
    <xf numFmtId="4" fontId="1" fillId="38" borderId="66" xfId="72" applyNumberFormat="1" applyFont="1" applyFill="1" applyBorder="1" applyAlignment="1">
      <alignment horizontal="center" vertical="center" wrapText="1"/>
    </xf>
    <xf numFmtId="49" fontId="1" fillId="38" borderId="66" xfId="0" applyNumberFormat="1" applyFont="1" applyFill="1" applyBorder="1" applyAlignment="1">
      <alignment horizontal="center" vertical="center" wrapText="1"/>
    </xf>
    <xf numFmtId="4" fontId="1" fillId="38" borderId="67" xfId="72" applyNumberFormat="1" applyFont="1" applyFill="1" applyBorder="1" applyAlignment="1">
      <alignment horizontal="center" vertical="center" wrapText="1"/>
    </xf>
    <xf numFmtId="4" fontId="1" fillId="38" borderId="67" xfId="0" applyNumberFormat="1" applyFont="1" applyFill="1" applyBorder="1" applyAlignment="1">
      <alignment horizontal="center" vertical="center" wrapText="1"/>
    </xf>
    <xf numFmtId="0" fontId="1" fillId="38" borderId="68" xfId="0" applyNumberFormat="1" applyFont="1" applyFill="1" applyBorder="1" applyAlignment="1">
      <alignment horizontal="center" vertical="center" wrapText="1"/>
    </xf>
    <xf numFmtId="0" fontId="1" fillId="38" borderId="69" xfId="72" applyNumberFormat="1" applyFont="1" applyFill="1" applyBorder="1" applyAlignment="1">
      <alignment horizontal="center" vertical="center" wrapText="1"/>
    </xf>
    <xf numFmtId="4" fontId="1" fillId="38" borderId="69" xfId="0" applyNumberFormat="1" applyFont="1" applyFill="1" applyBorder="1" applyAlignment="1">
      <alignment horizontal="center" vertical="center" wrapText="1"/>
    </xf>
  </cellXfs>
  <cellStyles count="6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Hiperlink 2" xfId="45"/>
    <cellStyle name="Followed Hyperlink" xfId="46"/>
    <cellStyle name="Incorreto" xfId="47"/>
    <cellStyle name="Currency" xfId="48"/>
    <cellStyle name="Currency [0]" xfId="49"/>
    <cellStyle name="Moeda 2" xfId="50"/>
    <cellStyle name="Neutra" xfId="51"/>
    <cellStyle name="Normal 2" xfId="52"/>
    <cellStyle name="Normal 2 2" xfId="53"/>
    <cellStyle name="Normal 3" xfId="54"/>
    <cellStyle name="Normal 4" xfId="55"/>
    <cellStyle name="Normal 5" xfId="56"/>
    <cellStyle name="Nota" xfId="57"/>
    <cellStyle name="Percent" xfId="58"/>
    <cellStyle name="Porcentagem 2" xfId="59"/>
    <cellStyle name="Saída" xfId="60"/>
    <cellStyle name="Comma [0]" xfId="61"/>
    <cellStyle name="Separador de milhares 2" xfId="62"/>
    <cellStyle name="Separador de milhares 3" xfId="63"/>
    <cellStyle name="Texto de Aviso" xfId="64"/>
    <cellStyle name="Texto Explicativo" xfId="65"/>
    <cellStyle name="Título" xfId="66"/>
    <cellStyle name="Título 1" xfId="67"/>
    <cellStyle name="Título 2" xfId="68"/>
    <cellStyle name="Título 3" xfId="69"/>
    <cellStyle name="Título 4" xfId="70"/>
    <cellStyle name="Total" xfId="71"/>
    <cellStyle name="Comma" xfId="72"/>
    <cellStyle name="Vírgula 2" xfId="73"/>
    <cellStyle name="Vírgula 3" xfId="74"/>
    <cellStyle name="Vírgula 4"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66675</xdr:rowOff>
    </xdr:from>
    <xdr:to>
      <xdr:col>4</xdr:col>
      <xdr:colOff>19050</xdr:colOff>
      <xdr:row>0</xdr:row>
      <xdr:rowOff>704850</xdr:rowOff>
    </xdr:to>
    <xdr:sp>
      <xdr:nvSpPr>
        <xdr:cNvPr id="1" name="Text Box 6"/>
        <xdr:cNvSpPr txBox="1">
          <a:spLocks noChangeArrowheads="1"/>
        </xdr:cNvSpPr>
      </xdr:nvSpPr>
      <xdr:spPr>
        <a:xfrm>
          <a:off x="1190625" y="66675"/>
          <a:ext cx="3714750" cy="63817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ESTADO DE MINAS GERAIS
</a:t>
          </a:r>
          <a:r>
            <a:rPr lang="en-US" cap="none" sz="900" b="0" i="0" u="none" baseline="0">
              <a:solidFill>
                <a:srgbClr val="000000"/>
              </a:solidFill>
              <a:latin typeface="Arial"/>
              <a:ea typeface="Arial"/>
              <a:cs typeface="Arial"/>
            </a:rPr>
            <a:t>Secretaria de Estado de Transportes e Obras Públicas
</a:t>
          </a:r>
          <a:r>
            <a:rPr lang="en-US" cap="none" sz="900" b="0" i="0" u="none" baseline="0">
              <a:solidFill>
                <a:srgbClr val="000000"/>
              </a:solidFill>
              <a:latin typeface="Arial"/>
              <a:ea typeface="Arial"/>
              <a:cs typeface="Arial"/>
            </a:rPr>
            <a:t>Superintendência de Projetos e Custos
</a:t>
          </a:r>
          <a:r>
            <a:rPr lang="en-US" cap="none" sz="900" b="0" i="0" u="none" baseline="0">
              <a:solidFill>
                <a:srgbClr val="000000"/>
              </a:solidFill>
              <a:latin typeface="Arial"/>
              <a:ea typeface="Arial"/>
              <a:cs typeface="Arial"/>
            </a:rPr>
            <a:t>Diretoria de Custos</a:t>
          </a:r>
        </a:p>
      </xdr:txBody>
    </xdr:sp>
    <xdr:clientData/>
  </xdr:twoCellAnchor>
  <xdr:twoCellAnchor>
    <xdr:from>
      <xdr:col>0</xdr:col>
      <xdr:colOff>47625</xdr:colOff>
      <xdr:row>58</xdr:row>
      <xdr:rowOff>47625</xdr:rowOff>
    </xdr:from>
    <xdr:to>
      <xdr:col>8</xdr:col>
      <xdr:colOff>0</xdr:colOff>
      <xdr:row>61</xdr:row>
      <xdr:rowOff>152400</xdr:rowOff>
    </xdr:to>
    <xdr:sp>
      <xdr:nvSpPr>
        <xdr:cNvPr id="2" name="Text Box 7"/>
        <xdr:cNvSpPr txBox="1">
          <a:spLocks noChangeArrowheads="1"/>
        </xdr:cNvSpPr>
      </xdr:nvSpPr>
      <xdr:spPr>
        <a:xfrm>
          <a:off x="47625" y="14039850"/>
          <a:ext cx="8115300" cy="55245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Secretaria de Estado de Transportes e Obras Públicas  - SETOP - MG
</a:t>
          </a:r>
          <a:r>
            <a:rPr lang="en-US" cap="none" sz="800" b="0" i="0" u="none" baseline="0">
              <a:solidFill>
                <a:srgbClr val="000000"/>
              </a:solidFill>
              <a:latin typeface="Arial"/>
              <a:ea typeface="Arial"/>
              <a:cs typeface="Arial"/>
            </a:rPr>
            <a:t>Internet: www.transportes.mg.gov.br / E-mail: dco@transportes.mg.gov.br
</a:t>
          </a:r>
          <a:r>
            <a:rPr lang="en-US" cap="none" sz="800" b="0" i="0" u="none" baseline="0">
              <a:solidFill>
                <a:srgbClr val="000000"/>
              </a:solidFill>
              <a:latin typeface="Arial"/>
              <a:ea typeface="Arial"/>
              <a:cs typeface="Arial"/>
            </a:rPr>
            <a:t>Fone Geral: (31) 3239-0999 - Fax: (31) 3239-0899
</a:t>
          </a:r>
          <a:r>
            <a:rPr lang="en-US" cap="none" sz="800" b="0" i="0" u="none" baseline="0">
              <a:solidFill>
                <a:srgbClr val="000000"/>
              </a:solidFill>
              <a:latin typeface="Arial"/>
              <a:ea typeface="Arial"/>
              <a:cs typeface="Arial"/>
            </a:rPr>
            <a:t>Sede: Rua Manaus, nº 467 - Bairro Santa Efigênia - CEP 30150-350 - Belo Horizonte - MG</a:t>
          </a:r>
        </a:p>
      </xdr:txBody>
    </xdr:sp>
    <xdr:clientData/>
  </xdr:twoCellAnchor>
  <xdr:twoCellAnchor editAs="oneCell">
    <xdr:from>
      <xdr:col>0</xdr:col>
      <xdr:colOff>361950</xdr:colOff>
      <xdr:row>0</xdr:row>
      <xdr:rowOff>85725</xdr:rowOff>
    </xdr:from>
    <xdr:to>
      <xdr:col>2</xdr:col>
      <xdr:colOff>133350</xdr:colOff>
      <xdr:row>0</xdr:row>
      <xdr:rowOff>704850</xdr:rowOff>
    </xdr:to>
    <xdr:pic>
      <xdr:nvPicPr>
        <xdr:cNvPr id="3" name="Object 3"/>
        <xdr:cNvPicPr preferRelativeResize="1">
          <a:picLocks noChangeAspect="1"/>
        </xdr:cNvPicPr>
      </xdr:nvPicPr>
      <xdr:blipFill>
        <a:blip r:embed="rId1"/>
        <a:srcRect b="14472"/>
        <a:stretch>
          <a:fillRect/>
        </a:stretch>
      </xdr:blipFill>
      <xdr:spPr>
        <a:xfrm>
          <a:off x="361950" y="85725"/>
          <a:ext cx="8477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7</xdr:col>
      <xdr:colOff>771525</xdr:colOff>
      <xdr:row>0</xdr:row>
      <xdr:rowOff>704850</xdr:rowOff>
    </xdr:to>
    <xdr:sp>
      <xdr:nvSpPr>
        <xdr:cNvPr id="1" name="Text Box 6"/>
        <xdr:cNvSpPr txBox="1">
          <a:spLocks noChangeArrowheads="1"/>
        </xdr:cNvSpPr>
      </xdr:nvSpPr>
      <xdr:spPr>
        <a:xfrm>
          <a:off x="85725" y="66675"/>
          <a:ext cx="8077200" cy="638175"/>
        </a:xfrm>
        <a:prstGeom prst="rect">
          <a:avLst/>
        </a:prstGeom>
        <a:noFill/>
        <a:ln w="9525" cmpd="sng">
          <a:noFill/>
        </a:ln>
      </xdr:spPr>
      <xdr:txBody>
        <a:bodyPr vertOverflow="clip" wrap="square" lIns="27432" tIns="22860" rIns="0" bIns="0"/>
        <a:p>
          <a:pPr algn="l">
            <a:defRPr/>
          </a:pPr>
          <a:r>
            <a:rPr lang="en-US" cap="none" sz="1200" b="1" i="0" u="sng" baseline="0">
              <a:solidFill>
                <a:srgbClr val="000000"/>
              </a:solidFill>
              <a:latin typeface="Times New Roman"/>
              <a:ea typeface="Times New Roman"/>
              <a:cs typeface="Times New Roman"/>
            </a:rPr>
            <a:t>PREFEITURA MUNICIPAL DE CORAÇÃO DE JESUS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ESTADO DE MINAS GERAIS
</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116</xdr:row>
      <xdr:rowOff>152400</xdr:rowOff>
    </xdr:from>
    <xdr:to>
      <xdr:col>8</xdr:col>
      <xdr:colOff>0</xdr:colOff>
      <xdr:row>120</xdr:row>
      <xdr:rowOff>57150</xdr:rowOff>
    </xdr:to>
    <xdr:sp>
      <xdr:nvSpPr>
        <xdr:cNvPr id="2" name="Text Box 7"/>
        <xdr:cNvSpPr txBox="1">
          <a:spLocks noChangeArrowheads="1"/>
        </xdr:cNvSpPr>
      </xdr:nvSpPr>
      <xdr:spPr>
        <a:xfrm flipV="1">
          <a:off x="47625" y="41509950"/>
          <a:ext cx="8162925" cy="4572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p>
      </xdr:txBody>
    </xdr:sp>
    <xdr:clientData/>
  </xdr:twoCellAnchor>
  <xdr:twoCellAnchor>
    <xdr:from>
      <xdr:col>0</xdr:col>
      <xdr:colOff>66675</xdr:colOff>
      <xdr:row>0</xdr:row>
      <xdr:rowOff>28575</xdr:rowOff>
    </xdr:from>
    <xdr:to>
      <xdr:col>1</xdr:col>
      <xdr:colOff>438150</xdr:colOff>
      <xdr:row>0</xdr:row>
      <xdr:rowOff>866775</xdr:rowOff>
    </xdr:to>
    <xdr:pic>
      <xdr:nvPicPr>
        <xdr:cNvPr id="3" name="Object 116"/>
        <xdr:cNvPicPr preferRelativeResize="1">
          <a:picLocks noChangeAspect="1"/>
        </xdr:cNvPicPr>
      </xdr:nvPicPr>
      <xdr:blipFill>
        <a:blip r:embed="rId1"/>
        <a:stretch>
          <a:fillRect/>
        </a:stretch>
      </xdr:blipFill>
      <xdr:spPr>
        <a:xfrm>
          <a:off x="66675" y="28575"/>
          <a:ext cx="73342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28575</xdr:rowOff>
    </xdr:from>
    <xdr:to>
      <xdr:col>8</xdr:col>
      <xdr:colOff>0</xdr:colOff>
      <xdr:row>0</xdr:row>
      <xdr:rowOff>800100</xdr:rowOff>
    </xdr:to>
    <xdr:sp>
      <xdr:nvSpPr>
        <xdr:cNvPr id="1" name="Text Box 6"/>
        <xdr:cNvSpPr txBox="1">
          <a:spLocks noChangeArrowheads="1"/>
        </xdr:cNvSpPr>
      </xdr:nvSpPr>
      <xdr:spPr>
        <a:xfrm>
          <a:off x="1657350" y="28575"/>
          <a:ext cx="7162800" cy="771525"/>
        </a:xfrm>
        <a:prstGeom prst="rect">
          <a:avLst/>
        </a:prstGeom>
        <a:noFill/>
        <a:ln w="9525" cmpd="sng">
          <a:noFill/>
        </a:ln>
      </xdr:spPr>
      <xdr:txBody>
        <a:bodyPr vertOverflow="clip" wrap="square" lIns="27432" tIns="22860" rIns="0" bIns="0"/>
        <a:p>
          <a:pPr algn="l">
            <a:defRPr/>
          </a:pPr>
          <a:r>
            <a:rPr lang="en-US" cap="none" sz="1400" b="1" i="0" u="sng" baseline="0">
              <a:solidFill>
                <a:srgbClr val="000000"/>
              </a:solidFill>
              <a:latin typeface="Times New Roman"/>
              <a:ea typeface="Times New Roman"/>
              <a:cs typeface="Times New Roman"/>
            </a:rPr>
            <a:t>PREFEITURA MUNICIPAL DE CORAÇÃO DE JESUS</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ESTADO DE MINAS GERAIS
</a:t>
          </a:r>
          <a:r>
            <a:rPr lang="en-US" cap="none" sz="1100" b="0" i="0" u="none" baseline="0">
              <a:solidFill>
                <a:srgbClr val="000000"/>
              </a:solidFill>
              <a:latin typeface="Calibri"/>
              <a:ea typeface="Calibri"/>
              <a:cs typeface="Calibri"/>
            </a:rPr>
            <a:t> </a:t>
          </a:r>
        </a:p>
      </xdr:txBody>
    </xdr:sp>
    <xdr:clientData/>
  </xdr:twoCellAnchor>
  <xdr:twoCellAnchor>
    <xdr:from>
      <xdr:col>0</xdr:col>
      <xdr:colOff>266700</xdr:colOff>
      <xdr:row>0</xdr:row>
      <xdr:rowOff>76200</xdr:rowOff>
    </xdr:from>
    <xdr:to>
      <xdr:col>1</xdr:col>
      <xdr:colOff>342900</xdr:colOff>
      <xdr:row>0</xdr:row>
      <xdr:rowOff>828675</xdr:rowOff>
    </xdr:to>
    <xdr:pic>
      <xdr:nvPicPr>
        <xdr:cNvPr id="2" name="Object 1027"/>
        <xdr:cNvPicPr preferRelativeResize="1">
          <a:picLocks noChangeAspect="1"/>
        </xdr:cNvPicPr>
      </xdr:nvPicPr>
      <xdr:blipFill>
        <a:blip r:embed="rId1"/>
        <a:stretch>
          <a:fillRect/>
        </a:stretch>
      </xdr:blipFill>
      <xdr:spPr>
        <a:xfrm>
          <a:off x="266700" y="76200"/>
          <a:ext cx="7810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1:L34"/>
  <sheetViews>
    <sheetView view="pageBreakPreview" zoomScale="115" zoomScaleSheetLayoutView="115" zoomScalePageLayoutView="0" workbookViewId="0" topLeftCell="A1">
      <selection activeCell="A2" sqref="A2:E2"/>
    </sheetView>
  </sheetViews>
  <sheetFormatPr defaultColWidth="9.140625" defaultRowHeight="12.75"/>
  <cols>
    <col min="1" max="1" width="18.8515625" style="46" bestFit="1" customWidth="1"/>
    <col min="2" max="2" width="15.7109375" style="46" customWidth="1"/>
    <col min="3" max="3" width="13.57421875" style="46" customWidth="1"/>
    <col min="4" max="4" width="9.28125" style="46" customWidth="1"/>
    <col min="5" max="5" width="7.57421875" style="46" customWidth="1"/>
    <col min="6" max="6" width="12.8515625" style="46" customWidth="1"/>
    <col min="7" max="7" width="12.7109375" style="46" customWidth="1"/>
    <col min="8" max="8" width="13.421875" style="46" bestFit="1" customWidth="1"/>
    <col min="9" max="9" width="10.421875" style="46" bestFit="1" customWidth="1"/>
    <col min="10" max="10" width="12.8515625" style="46" bestFit="1" customWidth="1"/>
    <col min="11" max="11" width="12.7109375" style="46" bestFit="1" customWidth="1"/>
    <col min="12" max="12" width="12.7109375" style="46" customWidth="1"/>
    <col min="13" max="16384" width="9.140625" style="46" customWidth="1"/>
  </cols>
  <sheetData>
    <row r="1" spans="1:12" ht="12.75">
      <c r="A1" s="165" t="s">
        <v>42</v>
      </c>
      <c r="B1" s="165"/>
      <c r="C1" s="165"/>
      <c r="D1" s="165"/>
      <c r="E1" s="165"/>
      <c r="F1" s="47"/>
      <c r="G1" s="47"/>
      <c r="H1" s="47"/>
      <c r="I1" s="47"/>
      <c r="J1" s="47"/>
      <c r="K1" s="47"/>
      <c r="L1" s="47"/>
    </row>
    <row r="2" spans="1:12" ht="29.25" customHeight="1">
      <c r="A2" s="165" t="s">
        <v>335</v>
      </c>
      <c r="B2" s="165"/>
      <c r="C2" s="165"/>
      <c r="D2" s="165"/>
      <c r="E2" s="165"/>
      <c r="F2" s="47"/>
      <c r="G2" s="47"/>
      <c r="H2" s="47"/>
      <c r="I2" s="47"/>
      <c r="J2" s="47"/>
      <c r="K2" s="47"/>
      <c r="L2" s="47"/>
    </row>
    <row r="3" spans="1:12" ht="12.75">
      <c r="A3" s="165" t="s">
        <v>43</v>
      </c>
      <c r="B3" s="165"/>
      <c r="C3" s="50" t="s">
        <v>44</v>
      </c>
      <c r="D3" s="166" t="s">
        <v>45</v>
      </c>
      <c r="E3" s="166"/>
      <c r="F3" s="47"/>
      <c r="G3" s="47"/>
      <c r="H3" s="47"/>
      <c r="I3" s="47"/>
      <c r="J3" s="47"/>
      <c r="K3" s="47"/>
      <c r="L3" s="47"/>
    </row>
    <row r="4" spans="1:12" ht="12.75">
      <c r="A4" s="162" t="s">
        <v>46</v>
      </c>
      <c r="B4" s="162"/>
      <c r="C4" s="51" t="s">
        <v>47</v>
      </c>
      <c r="D4" s="163">
        <v>0.03</v>
      </c>
      <c r="E4" s="163"/>
      <c r="F4" s="47"/>
      <c r="G4" s="47"/>
      <c r="H4" s="47"/>
      <c r="I4" s="47"/>
      <c r="J4" s="47"/>
      <c r="K4" s="47"/>
      <c r="L4" s="47"/>
    </row>
    <row r="5" spans="1:12" ht="12.75">
      <c r="A5" s="162" t="s">
        <v>48</v>
      </c>
      <c r="B5" s="162"/>
      <c r="C5" s="51" t="s">
        <v>49</v>
      </c>
      <c r="D5" s="163">
        <v>0.0616</v>
      </c>
      <c r="E5" s="163"/>
      <c r="F5" s="47"/>
      <c r="G5" s="47"/>
      <c r="H5" s="47"/>
      <c r="I5" s="47"/>
      <c r="J5" s="47"/>
      <c r="K5" s="47"/>
      <c r="L5" s="47"/>
    </row>
    <row r="6" spans="1:12" ht="12.75">
      <c r="A6" s="162" t="s">
        <v>50</v>
      </c>
      <c r="B6" s="162"/>
      <c r="C6" s="51" t="s">
        <v>51</v>
      </c>
      <c r="D6" s="163">
        <v>0.0059</v>
      </c>
      <c r="E6" s="163"/>
      <c r="F6" s="47"/>
      <c r="G6" s="47"/>
      <c r="H6" s="47"/>
      <c r="I6" s="47"/>
      <c r="J6" s="47"/>
      <c r="K6" s="47"/>
      <c r="L6" s="47"/>
    </row>
    <row r="7" spans="1:12" ht="12.75">
      <c r="A7" s="162" t="s">
        <v>52</v>
      </c>
      <c r="B7" s="162"/>
      <c r="C7" s="51" t="s">
        <v>53</v>
      </c>
      <c r="D7" s="163">
        <v>0.008</v>
      </c>
      <c r="E7" s="163"/>
      <c r="F7" s="47"/>
      <c r="G7" s="47"/>
      <c r="H7" s="47"/>
      <c r="I7" s="47"/>
      <c r="J7" s="47"/>
      <c r="K7" s="47"/>
      <c r="L7" s="47"/>
    </row>
    <row r="8" spans="1:12" ht="12.75">
      <c r="A8" s="162" t="s">
        <v>54</v>
      </c>
      <c r="B8" s="162"/>
      <c r="C8" s="51" t="s">
        <v>55</v>
      </c>
      <c r="D8" s="163">
        <v>0</v>
      </c>
      <c r="E8" s="163"/>
      <c r="F8" s="47"/>
      <c r="G8" s="47"/>
      <c r="H8" s="47"/>
      <c r="I8" s="47"/>
      <c r="J8" s="47"/>
      <c r="K8" s="47"/>
      <c r="L8" s="47"/>
    </row>
    <row r="9" spans="1:12" ht="12.75">
      <c r="A9" s="162" t="s">
        <v>56</v>
      </c>
      <c r="B9" s="162"/>
      <c r="C9" s="51" t="s">
        <v>57</v>
      </c>
      <c r="D9" s="163">
        <v>0.0097</v>
      </c>
      <c r="E9" s="163"/>
      <c r="F9" s="47"/>
      <c r="G9" s="47"/>
      <c r="H9" s="47"/>
      <c r="I9" s="47"/>
      <c r="J9" s="47"/>
      <c r="K9" s="47"/>
      <c r="L9" s="47"/>
    </row>
    <row r="10" spans="1:12" ht="12.75">
      <c r="A10" s="162" t="s">
        <v>58</v>
      </c>
      <c r="B10" s="162"/>
      <c r="C10" s="51" t="s">
        <v>59</v>
      </c>
      <c r="D10" s="163">
        <v>0.0865</v>
      </c>
      <c r="E10" s="163"/>
      <c r="F10" s="47"/>
      <c r="G10" s="47"/>
      <c r="H10" s="47"/>
      <c r="I10" s="47"/>
      <c r="J10" s="47"/>
      <c r="K10" s="47"/>
      <c r="L10" s="47"/>
    </row>
    <row r="11" spans="1:12" ht="12.75">
      <c r="A11" s="162" t="s">
        <v>60</v>
      </c>
      <c r="B11" s="162"/>
      <c r="C11" s="51" t="s">
        <v>60</v>
      </c>
      <c r="D11" s="163">
        <v>0.05</v>
      </c>
      <c r="E11" s="163"/>
      <c r="F11" s="47"/>
      <c r="G11" s="47"/>
      <c r="H11" s="47"/>
      <c r="I11" s="47"/>
      <c r="J11" s="47"/>
      <c r="K11" s="47"/>
      <c r="L11" s="47"/>
    </row>
    <row r="12" spans="1:12" ht="12.75">
      <c r="A12" s="162" t="s">
        <v>61</v>
      </c>
      <c r="B12" s="162"/>
      <c r="C12" s="51" t="s">
        <v>61</v>
      </c>
      <c r="D12" s="163">
        <v>0.0065</v>
      </c>
      <c r="E12" s="163"/>
      <c r="F12" s="47"/>
      <c r="G12" s="47"/>
      <c r="H12" s="47"/>
      <c r="I12" s="47"/>
      <c r="J12" s="47"/>
      <c r="K12" s="47"/>
      <c r="L12" s="47"/>
    </row>
    <row r="13" spans="1:12" ht="12.75">
      <c r="A13" s="162" t="s">
        <v>62</v>
      </c>
      <c r="B13" s="162"/>
      <c r="C13" s="52" t="s">
        <v>62</v>
      </c>
      <c r="D13" s="164">
        <v>0.03</v>
      </c>
      <c r="E13" s="164"/>
      <c r="F13" s="47"/>
      <c r="G13" s="47"/>
      <c r="H13" s="47"/>
      <c r="I13" s="47"/>
      <c r="J13" s="47"/>
      <c r="K13" s="47"/>
      <c r="L13" s="47"/>
    </row>
    <row r="14" spans="1:12" ht="12.75">
      <c r="A14" s="171" t="s">
        <v>63</v>
      </c>
      <c r="B14" s="172" t="s">
        <v>68</v>
      </c>
      <c r="C14" s="172"/>
      <c r="D14" s="173"/>
      <c r="E14" s="174">
        <v>-1</v>
      </c>
      <c r="F14" s="47"/>
      <c r="G14" s="47"/>
      <c r="H14" s="47"/>
      <c r="I14" s="47"/>
      <c r="J14" s="47"/>
      <c r="K14" s="47"/>
      <c r="L14" s="47"/>
    </row>
    <row r="15" spans="1:12" ht="15" customHeight="1">
      <c r="A15" s="171"/>
      <c r="B15" s="169" t="s">
        <v>64</v>
      </c>
      <c r="C15" s="169"/>
      <c r="D15" s="170"/>
      <c r="E15" s="174"/>
      <c r="F15" s="47"/>
      <c r="G15" s="47"/>
      <c r="H15" s="47"/>
      <c r="I15" s="47"/>
      <c r="J15" s="47"/>
      <c r="K15" s="47"/>
      <c r="L15" s="47"/>
    </row>
    <row r="16" spans="1:12" ht="15" customHeight="1">
      <c r="A16" s="162" t="s">
        <v>65</v>
      </c>
      <c r="B16" s="162"/>
      <c r="C16" s="163">
        <f>((1+(D4+D7+D8+D9))*(1+D6)*(1+D5))</f>
        <v>1.1188005260880003</v>
      </c>
      <c r="D16" s="163"/>
      <c r="E16" s="163"/>
      <c r="F16" s="47"/>
      <c r="G16" s="47"/>
      <c r="H16" s="47"/>
      <c r="I16" s="47"/>
      <c r="J16" s="47"/>
      <c r="K16" s="47"/>
      <c r="L16" s="47"/>
    </row>
    <row r="17" spans="1:12" ht="12.75">
      <c r="A17" s="162" t="s">
        <v>66</v>
      </c>
      <c r="B17" s="162"/>
      <c r="C17" s="163">
        <f>(1-(D10))</f>
        <v>0.9135</v>
      </c>
      <c r="D17" s="163"/>
      <c r="E17" s="163"/>
      <c r="F17" s="47"/>
      <c r="G17" s="47"/>
      <c r="H17" s="47"/>
      <c r="I17" s="47"/>
      <c r="J17" s="47"/>
      <c r="K17" s="47"/>
      <c r="L17" s="47"/>
    </row>
    <row r="18" spans="1:12" ht="12.75">
      <c r="A18" s="171" t="s">
        <v>67</v>
      </c>
      <c r="B18" s="171"/>
      <c r="C18" s="168">
        <f>(C16/C17)-1</f>
        <v>0.22474058685057496</v>
      </c>
      <c r="D18" s="168"/>
      <c r="E18" s="168"/>
      <c r="F18" s="47"/>
      <c r="G18" s="47"/>
      <c r="H18" s="47"/>
      <c r="I18" s="47"/>
      <c r="J18" s="47"/>
      <c r="K18" s="47"/>
      <c r="L18" s="47"/>
    </row>
    <row r="19" spans="3:12" ht="12.75">
      <c r="C19" s="47"/>
      <c r="D19" s="47"/>
      <c r="E19" s="47"/>
      <c r="F19" s="47"/>
      <c r="G19" s="47"/>
      <c r="H19" s="47"/>
      <c r="I19" s="47"/>
      <c r="J19" s="47"/>
      <c r="K19" s="47"/>
      <c r="L19" s="47"/>
    </row>
    <row r="20" spans="3:12" ht="12.75">
      <c r="C20" s="47"/>
      <c r="D20" s="47"/>
      <c r="E20" s="47"/>
      <c r="F20" s="47"/>
      <c r="G20" s="47"/>
      <c r="H20" s="47"/>
      <c r="I20" s="47"/>
      <c r="J20" s="47"/>
      <c r="K20" s="47"/>
      <c r="L20" s="47"/>
    </row>
    <row r="21" spans="3:12" ht="12.75">
      <c r="C21" s="47"/>
      <c r="D21" s="47"/>
      <c r="E21" s="47"/>
      <c r="F21" s="47"/>
      <c r="G21" s="47"/>
      <c r="H21" s="47"/>
      <c r="I21" s="47"/>
      <c r="J21" s="47"/>
      <c r="K21" s="47"/>
      <c r="L21" s="47"/>
    </row>
    <row r="22" spans="1:12" ht="12.75">
      <c r="A22" s="167" t="s">
        <v>39</v>
      </c>
      <c r="B22" s="167"/>
      <c r="C22" s="167"/>
      <c r="D22" s="167"/>
      <c r="E22" s="49"/>
      <c r="F22" s="48"/>
      <c r="G22" s="48"/>
      <c r="H22" s="48"/>
      <c r="I22" s="48"/>
      <c r="J22" s="48"/>
      <c r="K22" s="48"/>
      <c r="L22" s="48"/>
    </row>
    <row r="23" spans="1:12" ht="12.75">
      <c r="A23" s="167" t="s">
        <v>323</v>
      </c>
      <c r="B23" s="167"/>
      <c r="C23" s="167"/>
      <c r="D23" s="167"/>
      <c r="E23" s="49"/>
      <c r="F23" s="48"/>
      <c r="G23" s="48"/>
      <c r="H23" s="48"/>
      <c r="I23" s="48"/>
      <c r="J23" s="48"/>
      <c r="K23" s="48"/>
      <c r="L23" s="48"/>
    </row>
    <row r="24" spans="1:12" ht="12.75">
      <c r="A24" s="167" t="s">
        <v>324</v>
      </c>
      <c r="B24" s="167"/>
      <c r="C24" s="167"/>
      <c r="D24" s="167"/>
      <c r="E24" s="49"/>
      <c r="F24" s="48"/>
      <c r="G24" s="48"/>
      <c r="H24" s="48"/>
      <c r="I24" s="48"/>
      <c r="J24" s="48"/>
      <c r="K24" s="48"/>
      <c r="L24" s="48"/>
    </row>
    <row r="25" spans="3:12" ht="12.75">
      <c r="C25" s="47"/>
      <c r="D25" s="47"/>
      <c r="E25" s="47"/>
      <c r="F25" s="47"/>
      <c r="G25" s="47"/>
      <c r="H25" s="47"/>
      <c r="I25" s="47"/>
      <c r="J25" s="47"/>
      <c r="K25" s="47"/>
      <c r="L25" s="47"/>
    </row>
    <row r="26" spans="3:12" ht="12.75">
      <c r="C26" s="47"/>
      <c r="D26" s="47"/>
      <c r="E26" s="47"/>
      <c r="F26" s="47"/>
      <c r="G26" s="47"/>
      <c r="H26" s="47"/>
      <c r="I26" s="47"/>
      <c r="J26" s="47"/>
      <c r="K26" s="47"/>
      <c r="L26" s="47"/>
    </row>
    <row r="27" spans="3:12" ht="12.75">
      <c r="C27" s="47"/>
      <c r="D27" s="47"/>
      <c r="E27" s="47"/>
      <c r="F27" s="47"/>
      <c r="G27" s="47"/>
      <c r="H27" s="47"/>
      <c r="I27" s="47"/>
      <c r="J27" s="47"/>
      <c r="K27" s="47"/>
      <c r="L27" s="47"/>
    </row>
    <row r="28" spans="3:12" ht="12.75">
      <c r="C28" s="47"/>
      <c r="D28" s="47"/>
      <c r="E28" s="47"/>
      <c r="F28" s="47"/>
      <c r="G28" s="47"/>
      <c r="H28" s="47"/>
      <c r="I28" s="47"/>
      <c r="J28" s="47"/>
      <c r="K28" s="47"/>
      <c r="L28" s="47"/>
    </row>
    <row r="29" spans="3:12" ht="12.75">
      <c r="C29" s="47"/>
      <c r="D29" s="47"/>
      <c r="E29" s="47"/>
      <c r="F29" s="47"/>
      <c r="G29" s="47"/>
      <c r="H29" s="47"/>
      <c r="I29" s="47"/>
      <c r="J29" s="47"/>
      <c r="K29" s="47"/>
      <c r="L29" s="47"/>
    </row>
    <row r="30" spans="3:12" ht="12.75">
      <c r="C30" s="47"/>
      <c r="D30" s="47"/>
      <c r="E30" s="47"/>
      <c r="F30" s="47"/>
      <c r="G30" s="47"/>
      <c r="H30" s="47"/>
      <c r="I30" s="47"/>
      <c r="J30" s="47"/>
      <c r="K30" s="47"/>
      <c r="L30" s="47"/>
    </row>
    <row r="31" spans="3:12" ht="12.75">
      <c r="C31" s="47"/>
      <c r="D31" s="47"/>
      <c r="E31" s="47"/>
      <c r="F31" s="47"/>
      <c r="G31" s="47"/>
      <c r="H31" s="47"/>
      <c r="I31" s="47"/>
      <c r="J31" s="47"/>
      <c r="K31" s="47"/>
      <c r="L31" s="47"/>
    </row>
    <row r="32" spans="3:12" ht="12.75">
      <c r="C32" s="47"/>
      <c r="D32" s="47"/>
      <c r="E32" s="47"/>
      <c r="F32" s="47"/>
      <c r="G32" s="47"/>
      <c r="H32" s="47"/>
      <c r="I32" s="47"/>
      <c r="J32" s="47"/>
      <c r="K32" s="47"/>
      <c r="L32" s="47"/>
    </row>
    <row r="33" spans="3:12" ht="12.75">
      <c r="C33" s="47"/>
      <c r="D33" s="47"/>
      <c r="E33" s="47"/>
      <c r="F33" s="47"/>
      <c r="G33" s="47"/>
      <c r="H33" s="47"/>
      <c r="I33" s="47"/>
      <c r="J33" s="47"/>
      <c r="K33" s="47"/>
      <c r="L33" s="47"/>
    </row>
    <row r="34" spans="3:12" ht="12.75">
      <c r="C34" s="47"/>
      <c r="D34" s="47"/>
      <c r="E34" s="47"/>
      <c r="F34" s="47"/>
      <c r="G34" s="47"/>
      <c r="H34" s="47"/>
      <c r="I34" s="47"/>
      <c r="J34" s="47"/>
      <c r="K34" s="47"/>
      <c r="L34" s="47"/>
    </row>
  </sheetData>
  <sheetProtection/>
  <mergeCells count="37">
    <mergeCell ref="B14:D14"/>
    <mergeCell ref="E14:E15"/>
    <mergeCell ref="A16:B16"/>
    <mergeCell ref="C16:E16"/>
    <mergeCell ref="A24:D24"/>
    <mergeCell ref="A17:B17"/>
    <mergeCell ref="A18:B18"/>
    <mergeCell ref="A10:B10"/>
    <mergeCell ref="A11:B11"/>
    <mergeCell ref="A12:B12"/>
    <mergeCell ref="A23:D23"/>
    <mergeCell ref="D10:E10"/>
    <mergeCell ref="A22:D22"/>
    <mergeCell ref="C18:E18"/>
    <mergeCell ref="C17:E17"/>
    <mergeCell ref="B15:D15"/>
    <mergeCell ref="A14:A15"/>
    <mergeCell ref="D5:E5"/>
    <mergeCell ref="D6:E6"/>
    <mergeCell ref="D8:E8"/>
    <mergeCell ref="D9:E9"/>
    <mergeCell ref="A7:B7"/>
    <mergeCell ref="A1:E1"/>
    <mergeCell ref="A2:E2"/>
    <mergeCell ref="D3:E3"/>
    <mergeCell ref="D4:E4"/>
    <mergeCell ref="A3:B3"/>
    <mergeCell ref="A8:B8"/>
    <mergeCell ref="A9:B9"/>
    <mergeCell ref="D12:E12"/>
    <mergeCell ref="D13:E13"/>
    <mergeCell ref="A4:B4"/>
    <mergeCell ref="A5:B5"/>
    <mergeCell ref="A6:B6"/>
    <mergeCell ref="A13:B13"/>
    <mergeCell ref="D11:E11"/>
    <mergeCell ref="D7:E7"/>
  </mergeCells>
  <printOptions horizontalCentered="1"/>
  <pageMargins left="0.7874015748031497" right="0.7874015748031497" top="0.984251968503937" bottom="0.984251968503937" header="0.5118110236220472" footer="0.5118110236220472"/>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58"/>
  <sheetViews>
    <sheetView showGridLines="0" showZeros="0" view="pageBreakPreview" zoomScaleSheetLayoutView="100" zoomScalePageLayoutView="0" workbookViewId="0" topLeftCell="A7">
      <selection activeCell="A4" sqref="A4:L4"/>
    </sheetView>
  </sheetViews>
  <sheetFormatPr defaultColWidth="9.140625" defaultRowHeight="12.75"/>
  <cols>
    <col min="1" max="1" width="5.421875" style="0" bestFit="1" customWidth="1"/>
    <col min="2" max="2" width="10.7109375" style="0" bestFit="1" customWidth="1"/>
    <col min="3" max="3" width="48.00390625" style="0" customWidth="1"/>
    <col min="5" max="8" width="12.28125" style="0" customWidth="1"/>
    <col min="10" max="10" width="13.140625" style="0" bestFit="1" customWidth="1"/>
  </cols>
  <sheetData>
    <row r="1" spans="1:8" ht="60.75" customHeight="1" thickBot="1">
      <c r="A1" s="176"/>
      <c r="B1" s="176"/>
      <c r="C1" s="175"/>
      <c r="D1" s="175"/>
      <c r="E1" s="175"/>
      <c r="F1" s="175"/>
      <c r="G1" s="175"/>
      <c r="H1" s="175"/>
    </row>
    <row r="2" spans="1:8" ht="16.5" thickBot="1">
      <c r="A2" s="191" t="s">
        <v>79</v>
      </c>
      <c r="B2" s="192"/>
      <c r="C2" s="192"/>
      <c r="D2" s="192"/>
      <c r="E2" s="192"/>
      <c r="F2" s="192"/>
      <c r="G2" s="192"/>
      <c r="H2" s="193"/>
    </row>
    <row r="3" spans="1:8" ht="3.75" customHeight="1" thickBot="1">
      <c r="A3" s="189"/>
      <c r="B3" s="189"/>
      <c r="C3" s="189"/>
      <c r="D3" s="189"/>
      <c r="E3" s="189"/>
      <c r="F3" s="189"/>
      <c r="G3" s="189"/>
      <c r="H3" s="189"/>
    </row>
    <row r="4" spans="1:8" ht="19.5" customHeight="1" thickBot="1">
      <c r="A4" s="210" t="s">
        <v>4</v>
      </c>
      <c r="B4" s="211"/>
      <c r="C4" s="211"/>
      <c r="D4" s="211"/>
      <c r="E4" s="211"/>
      <c r="F4" s="211"/>
      <c r="G4" s="211"/>
      <c r="H4" s="212"/>
    </row>
    <row r="5" spans="1:8" ht="3.75" customHeight="1" thickBot="1">
      <c r="A5" s="11"/>
      <c r="B5" s="11"/>
      <c r="C5" s="11"/>
      <c r="D5" s="11"/>
      <c r="E5" s="11"/>
      <c r="F5" s="11"/>
      <c r="G5" s="11"/>
      <c r="H5" s="11"/>
    </row>
    <row r="6" spans="1:8" ht="19.5" customHeight="1">
      <c r="A6" s="201" t="s">
        <v>38</v>
      </c>
      <c r="B6" s="202"/>
      <c r="C6" s="202"/>
      <c r="D6" s="202"/>
      <c r="E6" s="203"/>
      <c r="F6" s="213" t="s">
        <v>25</v>
      </c>
      <c r="G6" s="214"/>
      <c r="H6" s="215"/>
    </row>
    <row r="7" spans="1:8" ht="19.5" customHeight="1">
      <c r="A7" s="204" t="s">
        <v>80</v>
      </c>
      <c r="B7" s="205"/>
      <c r="C7" s="205"/>
      <c r="D7" s="205"/>
      <c r="E7" s="206"/>
      <c r="F7" s="198" t="s">
        <v>81</v>
      </c>
      <c r="G7" s="199"/>
      <c r="H7" s="200"/>
    </row>
    <row r="8" spans="1:8" ht="12.75">
      <c r="A8" s="180" t="s">
        <v>135</v>
      </c>
      <c r="B8" s="181"/>
      <c r="C8" s="181"/>
      <c r="D8" s="182"/>
      <c r="E8" s="207" t="s">
        <v>12</v>
      </c>
      <c r="F8" s="208"/>
      <c r="G8" s="208"/>
      <c r="H8" s="209"/>
    </row>
    <row r="9" spans="1:8" ht="19.5" customHeight="1">
      <c r="A9" s="180" t="s">
        <v>82</v>
      </c>
      <c r="B9" s="181"/>
      <c r="C9" s="181"/>
      <c r="D9" s="182"/>
      <c r="E9" s="196" t="s">
        <v>8</v>
      </c>
      <c r="F9" s="194" t="s">
        <v>6</v>
      </c>
      <c r="G9" s="10" t="s">
        <v>26</v>
      </c>
      <c r="H9" s="7" t="s">
        <v>7</v>
      </c>
    </row>
    <row r="10" spans="1:8" ht="19.5" customHeight="1" thickBot="1">
      <c r="A10" s="183" t="s">
        <v>83</v>
      </c>
      <c r="B10" s="184"/>
      <c r="C10" s="184"/>
      <c r="D10" s="185"/>
      <c r="E10" s="197"/>
      <c r="F10" s="195"/>
      <c r="G10" s="12" t="s">
        <v>9</v>
      </c>
      <c r="H10" s="43" t="e">
        <f>'Composição BDI'!#REF!</f>
        <v>#REF!</v>
      </c>
    </row>
    <row r="11" spans="1:8" ht="3.75" customHeight="1" thickBot="1">
      <c r="A11" s="188"/>
      <c r="B11" s="188"/>
      <c r="C11" s="188"/>
      <c r="D11" s="188"/>
      <c r="E11" s="188"/>
      <c r="F11" s="188"/>
      <c r="G11" s="188"/>
      <c r="H11" s="188"/>
    </row>
    <row r="12" spans="1:8" ht="39" thickBot="1">
      <c r="A12" s="2" t="s">
        <v>0</v>
      </c>
      <c r="B12" s="3" t="s">
        <v>5</v>
      </c>
      <c r="C12" s="3" t="s">
        <v>1</v>
      </c>
      <c r="D12" s="3" t="s">
        <v>3</v>
      </c>
      <c r="E12" s="3" t="s">
        <v>2</v>
      </c>
      <c r="F12" s="4" t="s">
        <v>13</v>
      </c>
      <c r="G12" s="4" t="s">
        <v>14</v>
      </c>
      <c r="H12" s="5" t="s">
        <v>10</v>
      </c>
    </row>
    <row r="13" spans="1:8" s="25" customFormat="1" ht="18" customHeight="1">
      <c r="A13" s="26">
        <v>1</v>
      </c>
      <c r="B13" s="27"/>
      <c r="C13" s="28" t="s">
        <v>84</v>
      </c>
      <c r="D13" s="29"/>
      <c r="E13" s="30"/>
      <c r="F13" s="30"/>
      <c r="G13" s="30"/>
      <c r="H13" s="31"/>
    </row>
    <row r="14" spans="1:9" ht="33.75">
      <c r="A14" s="13" t="s">
        <v>16</v>
      </c>
      <c r="B14" s="32" t="s">
        <v>85</v>
      </c>
      <c r="C14" s="33" t="s">
        <v>86</v>
      </c>
      <c r="D14" s="14" t="s">
        <v>87</v>
      </c>
      <c r="E14" s="15">
        <f>713.51</f>
        <v>713.51</v>
      </c>
      <c r="F14" s="15">
        <v>50.34</v>
      </c>
      <c r="G14" s="15" t="e">
        <f>F14+(F14*$H$10)</f>
        <v>#REF!</v>
      </c>
      <c r="H14" s="16" t="e">
        <f>E14*G14</f>
        <v>#REF!</v>
      </c>
      <c r="I14" s="24"/>
    </row>
    <row r="15" spans="1:8" ht="18" customHeight="1">
      <c r="A15" s="13" t="s">
        <v>18</v>
      </c>
      <c r="B15" s="32" t="s">
        <v>88</v>
      </c>
      <c r="C15" s="33" t="s">
        <v>89</v>
      </c>
      <c r="D15" s="14" t="s">
        <v>87</v>
      </c>
      <c r="E15" s="15">
        <v>999.18</v>
      </c>
      <c r="F15" s="15">
        <v>10.13</v>
      </c>
      <c r="G15" s="15" t="e">
        <f aca="true" t="shared" si="0" ref="G15:G48">F15+(F15*$H$10)</f>
        <v>#REF!</v>
      </c>
      <c r="H15" s="16" t="e">
        <f aca="true" t="shared" si="1" ref="H15:H49">E15*G15</f>
        <v>#REF!</v>
      </c>
    </row>
    <row r="16" spans="1:8" ht="18" customHeight="1">
      <c r="A16" s="34"/>
      <c r="B16" s="35"/>
      <c r="C16" s="36"/>
      <c r="D16" s="14"/>
      <c r="E16" s="15"/>
      <c r="F16" s="15"/>
      <c r="G16" s="15" t="e">
        <f t="shared" si="0"/>
        <v>#REF!</v>
      </c>
      <c r="H16" s="16" t="e">
        <f t="shared" si="1"/>
        <v>#REF!</v>
      </c>
    </row>
    <row r="17" spans="1:8" s="56" customFormat="1" ht="12.75">
      <c r="A17" s="34">
        <v>2</v>
      </c>
      <c r="B17" s="35"/>
      <c r="C17" s="36" t="s">
        <v>90</v>
      </c>
      <c r="D17" s="53"/>
      <c r="E17" s="54"/>
      <c r="F17" s="54"/>
      <c r="G17" s="54" t="e">
        <f t="shared" si="0"/>
        <v>#REF!</v>
      </c>
      <c r="H17" s="55" t="e">
        <f t="shared" si="1"/>
        <v>#REF!</v>
      </c>
    </row>
    <row r="18" spans="1:8" s="25" customFormat="1" ht="22.5">
      <c r="A18" s="13" t="s">
        <v>19</v>
      </c>
      <c r="B18" s="37" t="s">
        <v>91</v>
      </c>
      <c r="C18" s="33" t="s">
        <v>92</v>
      </c>
      <c r="D18" s="14" t="s">
        <v>87</v>
      </c>
      <c r="E18" s="15">
        <v>232.74</v>
      </c>
      <c r="F18" s="15">
        <v>3.51</v>
      </c>
      <c r="G18" s="15" t="e">
        <f t="shared" si="0"/>
        <v>#REF!</v>
      </c>
      <c r="H18" s="16" t="e">
        <f t="shared" si="1"/>
        <v>#REF!</v>
      </c>
    </row>
    <row r="19" spans="1:8" ht="22.5">
      <c r="A19" s="13" t="s">
        <v>20</v>
      </c>
      <c r="B19" s="37" t="s">
        <v>93</v>
      </c>
      <c r="C19" s="33" t="s">
        <v>94</v>
      </c>
      <c r="D19" s="14" t="s">
        <v>87</v>
      </c>
      <c r="E19" s="15">
        <f>E18</f>
        <v>232.74</v>
      </c>
      <c r="F19" s="15">
        <v>9.85</v>
      </c>
      <c r="G19" s="15" t="e">
        <f t="shared" si="0"/>
        <v>#REF!</v>
      </c>
      <c r="H19" s="16" t="e">
        <f t="shared" si="1"/>
        <v>#REF!</v>
      </c>
    </row>
    <row r="20" spans="1:8" ht="12.75">
      <c r="A20" s="58" t="s">
        <v>21</v>
      </c>
      <c r="B20" s="59"/>
      <c r="C20" s="60" t="s">
        <v>95</v>
      </c>
      <c r="D20" s="37"/>
      <c r="E20" s="15"/>
      <c r="F20" s="15"/>
      <c r="G20" s="15" t="e">
        <f t="shared" si="0"/>
        <v>#REF!</v>
      </c>
      <c r="H20" s="16" t="e">
        <f t="shared" si="1"/>
        <v>#REF!</v>
      </c>
    </row>
    <row r="21" spans="1:8" ht="22.5">
      <c r="A21" s="13" t="s">
        <v>71</v>
      </c>
      <c r="B21" s="37" t="s">
        <v>96</v>
      </c>
      <c r="C21" s="33" t="s">
        <v>97</v>
      </c>
      <c r="D21" s="37" t="s">
        <v>87</v>
      </c>
      <c r="E21" s="15">
        <f>(65*0.2*1.25*4)</f>
        <v>65</v>
      </c>
      <c r="F21" s="15">
        <v>52.26</v>
      </c>
      <c r="G21" s="15" t="e">
        <f t="shared" si="0"/>
        <v>#REF!</v>
      </c>
      <c r="H21" s="16" t="e">
        <f t="shared" si="1"/>
        <v>#REF!</v>
      </c>
    </row>
    <row r="22" spans="1:8" ht="33.75">
      <c r="A22" s="13" t="s">
        <v>99</v>
      </c>
      <c r="B22" s="37" t="s">
        <v>98</v>
      </c>
      <c r="C22" s="33" t="s">
        <v>100</v>
      </c>
      <c r="D22" s="14" t="s">
        <v>69</v>
      </c>
      <c r="E22" s="15">
        <f>65*0.2*0.2*1.25</f>
        <v>3.25</v>
      </c>
      <c r="F22" s="15">
        <v>292.74</v>
      </c>
      <c r="G22" s="15" t="e">
        <f t="shared" si="0"/>
        <v>#REF!</v>
      </c>
      <c r="H22" s="16" t="e">
        <f t="shared" si="1"/>
        <v>#REF!</v>
      </c>
    </row>
    <row r="23" spans="1:8" ht="22.5">
      <c r="A23" s="13" t="s">
        <v>101</v>
      </c>
      <c r="B23" s="37" t="s">
        <v>127</v>
      </c>
      <c r="C23" s="33" t="s">
        <v>126</v>
      </c>
      <c r="D23" s="37" t="s">
        <v>15</v>
      </c>
      <c r="E23" s="15">
        <f>((139.44-(65*0.2))*0.4)</f>
        <v>50.576</v>
      </c>
      <c r="F23" s="15">
        <v>47.94</v>
      </c>
      <c r="G23" s="15" t="e">
        <f t="shared" si="0"/>
        <v>#REF!</v>
      </c>
      <c r="H23" s="16" t="e">
        <f t="shared" si="1"/>
        <v>#REF!</v>
      </c>
    </row>
    <row r="24" spans="1:8" ht="33.75">
      <c r="A24" s="13" t="s">
        <v>107</v>
      </c>
      <c r="B24" s="37" t="s">
        <v>102</v>
      </c>
      <c r="C24" s="33" t="s">
        <v>103</v>
      </c>
      <c r="D24" s="37" t="s">
        <v>15</v>
      </c>
      <c r="E24" s="15">
        <f>E23*2</f>
        <v>101.152</v>
      </c>
      <c r="F24" s="15">
        <v>7.38</v>
      </c>
      <c r="G24" s="15" t="e">
        <f t="shared" si="0"/>
        <v>#REF!</v>
      </c>
      <c r="H24" s="16" t="e">
        <f t="shared" si="1"/>
        <v>#REF!</v>
      </c>
    </row>
    <row r="25" spans="1:8" ht="22.5">
      <c r="A25" s="13" t="s">
        <v>108</v>
      </c>
      <c r="B25" s="37" t="s">
        <v>128</v>
      </c>
      <c r="C25" s="33" t="s">
        <v>104</v>
      </c>
      <c r="D25" s="37" t="s">
        <v>23</v>
      </c>
      <c r="E25" s="15">
        <f>139.44</f>
        <v>139.44</v>
      </c>
      <c r="F25" s="15">
        <v>105.98</v>
      </c>
      <c r="G25" s="15" t="e">
        <f t="shared" si="0"/>
        <v>#REF!</v>
      </c>
      <c r="H25" s="16" t="e">
        <f t="shared" si="1"/>
        <v>#REF!</v>
      </c>
    </row>
    <row r="26" spans="1:8" ht="22.5">
      <c r="A26" s="13" t="s">
        <v>109</v>
      </c>
      <c r="B26" s="37" t="s">
        <v>130</v>
      </c>
      <c r="C26" s="33" t="s">
        <v>129</v>
      </c>
      <c r="D26" s="37" t="s">
        <v>23</v>
      </c>
      <c r="E26" s="15">
        <f>(E25/0.8)*0.75</f>
        <v>130.725</v>
      </c>
      <c r="F26" s="15">
        <v>42.6</v>
      </c>
      <c r="G26" s="15" t="e">
        <f>F26+(F26*$H$10)</f>
        <v>#REF!</v>
      </c>
      <c r="H26" s="16" t="e">
        <f>E26*G26</f>
        <v>#REF!</v>
      </c>
    </row>
    <row r="27" spans="1:9" ht="22.5">
      <c r="A27" s="13" t="s">
        <v>131</v>
      </c>
      <c r="B27" s="37" t="s">
        <v>105</v>
      </c>
      <c r="C27" s="33" t="s">
        <v>110</v>
      </c>
      <c r="D27" s="37" t="s">
        <v>106</v>
      </c>
      <c r="E27" s="15">
        <f>E25+E26</f>
        <v>270.16499999999996</v>
      </c>
      <c r="F27" s="15">
        <v>9.41</v>
      </c>
      <c r="G27" s="15" t="e">
        <f t="shared" si="0"/>
        <v>#REF!</v>
      </c>
      <c r="H27" s="16" t="e">
        <f t="shared" si="1"/>
        <v>#REF!</v>
      </c>
      <c r="I27" s="24"/>
    </row>
    <row r="28" spans="1:9" ht="12.75">
      <c r="A28" s="13"/>
      <c r="B28" s="37"/>
      <c r="C28" s="33"/>
      <c r="D28" s="37"/>
      <c r="E28" s="15"/>
      <c r="F28" s="15"/>
      <c r="G28" s="15" t="e">
        <f t="shared" si="0"/>
        <v>#REF!</v>
      </c>
      <c r="H28" s="16" t="e">
        <f t="shared" si="1"/>
        <v>#REF!</v>
      </c>
      <c r="I28" s="24"/>
    </row>
    <row r="29" spans="1:9" s="68" customFormat="1" ht="12.75">
      <c r="A29" s="62">
        <v>3</v>
      </c>
      <c r="B29" s="63"/>
      <c r="C29" s="64" t="s">
        <v>111</v>
      </c>
      <c r="D29" s="63"/>
      <c r="E29" s="65"/>
      <c r="F29" s="65"/>
      <c r="G29" s="65" t="e">
        <f>F29+(F29*$H$10)</f>
        <v>#REF!</v>
      </c>
      <c r="H29" s="66" t="e">
        <f>E29*G29</f>
        <v>#REF!</v>
      </c>
      <c r="I29" s="67"/>
    </row>
    <row r="30" spans="1:9" s="68" customFormat="1" ht="33.75">
      <c r="A30" s="69" t="s">
        <v>22</v>
      </c>
      <c r="B30" s="70" t="s">
        <v>113</v>
      </c>
      <c r="C30" s="71" t="s">
        <v>114</v>
      </c>
      <c r="D30" s="72" t="s">
        <v>112</v>
      </c>
      <c r="E30" s="73">
        <v>4</v>
      </c>
      <c r="F30" s="73">
        <v>1384.57</v>
      </c>
      <c r="G30" s="73" t="e">
        <f>F30+(F30*$H$10)</f>
        <v>#REF!</v>
      </c>
      <c r="H30" s="74" t="e">
        <f>E30*G30</f>
        <v>#REF!</v>
      </c>
      <c r="I30" s="67"/>
    </row>
    <row r="31" spans="1:9" s="68" customFormat="1" ht="12.75">
      <c r="A31" s="69" t="s">
        <v>132</v>
      </c>
      <c r="B31" s="70" t="s">
        <v>138</v>
      </c>
      <c r="C31" s="71" t="s">
        <v>139</v>
      </c>
      <c r="D31" s="72" t="s">
        <v>112</v>
      </c>
      <c r="E31" s="73">
        <v>4</v>
      </c>
      <c r="F31" s="73">
        <v>44.3</v>
      </c>
      <c r="G31" s="73" t="e">
        <f>F31+(F31*$H$10)</f>
        <v>#REF!</v>
      </c>
      <c r="H31" s="74" t="e">
        <f>E31*G31</f>
        <v>#REF!</v>
      </c>
      <c r="I31" s="67"/>
    </row>
    <row r="32" spans="1:8" s="68" customFormat="1" ht="22.5">
      <c r="A32" s="69" t="s">
        <v>132</v>
      </c>
      <c r="B32" s="75" t="s">
        <v>120</v>
      </c>
      <c r="C32" s="71" t="s">
        <v>121</v>
      </c>
      <c r="D32" s="72" t="s">
        <v>112</v>
      </c>
      <c r="E32" s="73">
        <v>4</v>
      </c>
      <c r="F32" s="73">
        <v>274.83</v>
      </c>
      <c r="G32" s="73" t="e">
        <f t="shared" si="0"/>
        <v>#REF!</v>
      </c>
      <c r="H32" s="74" t="e">
        <f t="shared" si="1"/>
        <v>#REF!</v>
      </c>
    </row>
    <row r="33" spans="1:8" s="68" customFormat="1" ht="22.5">
      <c r="A33" s="69" t="s">
        <v>133</v>
      </c>
      <c r="B33" s="75" t="s">
        <v>122</v>
      </c>
      <c r="C33" s="71" t="s">
        <v>123</v>
      </c>
      <c r="D33" s="72" t="s">
        <v>106</v>
      </c>
      <c r="E33" s="73">
        <v>67.6095</v>
      </c>
      <c r="F33" s="73">
        <v>11.2</v>
      </c>
      <c r="G33" s="73" t="e">
        <f>F33+(F33*$H$10)</f>
        <v>#REF!</v>
      </c>
      <c r="H33" s="74" t="e">
        <f>E33*G33</f>
        <v>#REF!</v>
      </c>
    </row>
    <row r="34" spans="1:8" s="68" customFormat="1" ht="22.5">
      <c r="A34" s="69" t="s">
        <v>134</v>
      </c>
      <c r="B34" s="75" t="s">
        <v>124</v>
      </c>
      <c r="C34" s="71" t="s">
        <v>125</v>
      </c>
      <c r="D34" s="72" t="s">
        <v>106</v>
      </c>
      <c r="E34" s="73">
        <f>E33*3</f>
        <v>202.8285</v>
      </c>
      <c r="F34" s="73">
        <v>5.33</v>
      </c>
      <c r="G34" s="73" t="e">
        <f>F34+(F34*$H$10)</f>
        <v>#REF!</v>
      </c>
      <c r="H34" s="74" t="e">
        <f>E34*G34</f>
        <v>#REF!</v>
      </c>
    </row>
    <row r="35" spans="1:8" s="68" customFormat="1" ht="22.5">
      <c r="A35" s="69"/>
      <c r="B35" s="75" t="s">
        <v>136</v>
      </c>
      <c r="C35" s="71" t="s">
        <v>137</v>
      </c>
      <c r="D35" s="72" t="s">
        <v>112</v>
      </c>
      <c r="E35" s="73">
        <v>1</v>
      </c>
      <c r="F35" s="73">
        <v>1707.84</v>
      </c>
      <c r="G35" s="73" t="e">
        <f>F35+(F35*$H$10)</f>
        <v>#REF!</v>
      </c>
      <c r="H35" s="74" t="e">
        <f>E35*G35</f>
        <v>#REF!</v>
      </c>
    </row>
    <row r="36" spans="1:8" ht="18" customHeight="1">
      <c r="A36" s="34"/>
      <c r="B36" s="35"/>
      <c r="C36" s="36"/>
      <c r="D36" s="14"/>
      <c r="E36" s="15"/>
      <c r="F36" s="15"/>
      <c r="G36" s="15" t="e">
        <f t="shared" si="0"/>
        <v>#REF!</v>
      </c>
      <c r="H36" s="16" t="e">
        <f t="shared" si="1"/>
        <v>#REF!</v>
      </c>
    </row>
    <row r="37" spans="1:8" ht="18" customHeight="1">
      <c r="A37" s="34">
        <v>4</v>
      </c>
      <c r="B37" s="57"/>
      <c r="C37" s="36" t="s">
        <v>116</v>
      </c>
      <c r="D37" s="53"/>
      <c r="E37" s="54"/>
      <c r="F37" s="54"/>
      <c r="G37" s="54" t="e">
        <f t="shared" si="0"/>
        <v>#REF!</v>
      </c>
      <c r="H37" s="55" t="e">
        <f t="shared" si="1"/>
        <v>#REF!</v>
      </c>
    </row>
    <row r="38" spans="1:8" ht="18" customHeight="1">
      <c r="A38" s="13" t="s">
        <v>119</v>
      </c>
      <c r="B38" s="32" t="s">
        <v>118</v>
      </c>
      <c r="C38" s="33" t="s">
        <v>117</v>
      </c>
      <c r="D38" s="14" t="s">
        <v>115</v>
      </c>
      <c r="E38" s="15"/>
      <c r="F38" s="15">
        <v>292.72</v>
      </c>
      <c r="G38" s="15" t="e">
        <f t="shared" si="0"/>
        <v>#REF!</v>
      </c>
      <c r="H38" s="16" t="e">
        <f t="shared" si="1"/>
        <v>#REF!</v>
      </c>
    </row>
    <row r="39" spans="1:8" ht="18" customHeight="1">
      <c r="A39" s="34"/>
      <c r="B39" s="35"/>
      <c r="C39" s="36"/>
      <c r="D39" s="14"/>
      <c r="E39" s="15"/>
      <c r="F39" s="15"/>
      <c r="G39" s="15" t="e">
        <f t="shared" si="0"/>
        <v>#REF!</v>
      </c>
      <c r="H39" s="16" t="e">
        <f t="shared" si="1"/>
        <v>#REF!</v>
      </c>
    </row>
    <row r="40" spans="1:8" ht="12.75">
      <c r="A40" s="13"/>
      <c r="B40" s="37"/>
      <c r="C40" s="33"/>
      <c r="D40" s="14"/>
      <c r="E40" s="15"/>
      <c r="F40" s="15"/>
      <c r="G40" s="15" t="e">
        <f t="shared" si="0"/>
        <v>#REF!</v>
      </c>
      <c r="H40" s="16" t="e">
        <f t="shared" si="1"/>
        <v>#REF!</v>
      </c>
    </row>
    <row r="41" spans="1:8" ht="18" customHeight="1">
      <c r="A41" s="13"/>
      <c r="B41" s="32"/>
      <c r="C41" s="33"/>
      <c r="D41" s="14"/>
      <c r="E41" s="15"/>
      <c r="F41" s="15"/>
      <c r="G41" s="15" t="e">
        <f t="shared" si="0"/>
        <v>#REF!</v>
      </c>
      <c r="H41" s="16" t="e">
        <f t="shared" si="1"/>
        <v>#REF!</v>
      </c>
    </row>
    <row r="42" spans="1:8" ht="18" customHeight="1">
      <c r="A42" s="13"/>
      <c r="B42" s="32"/>
      <c r="C42" s="33"/>
      <c r="D42" s="14"/>
      <c r="E42" s="15"/>
      <c r="F42" s="15"/>
      <c r="G42" s="15" t="e">
        <f t="shared" si="0"/>
        <v>#REF!</v>
      </c>
      <c r="H42" s="16" t="e">
        <f t="shared" si="1"/>
        <v>#REF!</v>
      </c>
    </row>
    <row r="43" spans="1:8" ht="18" customHeight="1">
      <c r="A43" s="13"/>
      <c r="B43" s="32"/>
      <c r="C43" s="33"/>
      <c r="D43" s="14"/>
      <c r="E43" s="15"/>
      <c r="F43" s="15"/>
      <c r="G43" s="15" t="e">
        <f t="shared" si="0"/>
        <v>#REF!</v>
      </c>
      <c r="H43" s="16" t="e">
        <f t="shared" si="1"/>
        <v>#REF!</v>
      </c>
    </row>
    <row r="44" spans="1:8" ht="18" customHeight="1">
      <c r="A44" s="13"/>
      <c r="B44" s="32"/>
      <c r="C44" s="38"/>
      <c r="D44" s="14"/>
      <c r="E44" s="15"/>
      <c r="F44" s="15"/>
      <c r="G44" s="15" t="e">
        <f t="shared" si="0"/>
        <v>#REF!</v>
      </c>
      <c r="H44" s="16" t="e">
        <f t="shared" si="1"/>
        <v>#REF!</v>
      </c>
    </row>
    <row r="45" spans="1:8" ht="18" customHeight="1">
      <c r="A45" s="13"/>
      <c r="B45" s="32"/>
      <c r="C45" s="33"/>
      <c r="D45" s="14"/>
      <c r="E45" s="15"/>
      <c r="F45" s="15"/>
      <c r="G45" s="15" t="e">
        <f t="shared" si="0"/>
        <v>#REF!</v>
      </c>
      <c r="H45" s="16" t="e">
        <f t="shared" si="1"/>
        <v>#REF!</v>
      </c>
    </row>
    <row r="46" spans="1:8" ht="18" customHeight="1">
      <c r="A46" s="13"/>
      <c r="B46" s="32"/>
      <c r="C46" s="33"/>
      <c r="D46" s="14"/>
      <c r="E46" s="15"/>
      <c r="F46" s="15"/>
      <c r="G46" s="15" t="e">
        <f t="shared" si="0"/>
        <v>#REF!</v>
      </c>
      <c r="H46" s="16" t="e">
        <f t="shared" si="1"/>
        <v>#REF!</v>
      </c>
    </row>
    <row r="47" spans="1:8" ht="18" customHeight="1">
      <c r="A47" s="13"/>
      <c r="B47" s="32"/>
      <c r="C47" s="33"/>
      <c r="D47" s="14"/>
      <c r="E47" s="15"/>
      <c r="F47" s="15"/>
      <c r="G47" s="15" t="e">
        <f t="shared" si="0"/>
        <v>#REF!</v>
      </c>
      <c r="H47" s="16" t="e">
        <f t="shared" si="1"/>
        <v>#REF!</v>
      </c>
    </row>
    <row r="48" spans="1:8" ht="18" customHeight="1">
      <c r="A48" s="13"/>
      <c r="B48" s="32"/>
      <c r="C48" s="33"/>
      <c r="D48" s="17"/>
      <c r="E48" s="15"/>
      <c r="F48" s="15"/>
      <c r="G48" s="15" t="e">
        <f t="shared" si="0"/>
        <v>#REF!</v>
      </c>
      <c r="H48" s="16" t="e">
        <f t="shared" si="1"/>
        <v>#REF!</v>
      </c>
    </row>
    <row r="49" spans="1:8" ht="18" customHeight="1" thickBot="1">
      <c r="A49" s="39"/>
      <c r="B49" s="40"/>
      <c r="C49" s="41"/>
      <c r="D49" s="20"/>
      <c r="E49" s="21"/>
      <c r="F49" s="18"/>
      <c r="G49" s="18" t="e">
        <f>F49*$H$10</f>
        <v>#REF!</v>
      </c>
      <c r="H49" s="19" t="e">
        <f t="shared" si="1"/>
        <v>#REF!</v>
      </c>
    </row>
    <row r="50" spans="1:10" ht="18" customHeight="1" thickBot="1">
      <c r="A50" s="186" t="s">
        <v>24</v>
      </c>
      <c r="B50" s="187"/>
      <c r="C50" s="187"/>
      <c r="D50" s="187"/>
      <c r="E50" s="187"/>
      <c r="F50" s="187"/>
      <c r="G50" s="187"/>
      <c r="H50" s="42" t="e">
        <f>SUM(H13:H49)</f>
        <v>#REF!</v>
      </c>
      <c r="J50" s="61">
        <v>114842.08</v>
      </c>
    </row>
    <row r="51" spans="1:10" ht="14.25" customHeight="1">
      <c r="A51" s="22"/>
      <c r="B51" s="22"/>
      <c r="C51" s="22"/>
      <c r="D51" s="22"/>
      <c r="E51" s="22"/>
      <c r="F51" s="22"/>
      <c r="G51" s="22"/>
      <c r="H51" s="23"/>
      <c r="J51" s="61" t="e">
        <f>J50-H50</f>
        <v>#REF!</v>
      </c>
    </row>
    <row r="52" spans="1:8" ht="11.25" customHeight="1">
      <c r="A52" s="1"/>
      <c r="B52" s="1"/>
      <c r="C52" s="1"/>
      <c r="D52" s="1"/>
      <c r="E52" s="1"/>
      <c r="F52" s="1"/>
      <c r="G52" s="1"/>
      <c r="H52" s="1"/>
    </row>
    <row r="53" spans="1:8" ht="11.25" customHeight="1">
      <c r="A53" s="1"/>
      <c r="B53" s="179"/>
      <c r="C53" s="179"/>
      <c r="D53" s="1"/>
      <c r="E53" s="179" t="s">
        <v>41</v>
      </c>
      <c r="F53" s="179"/>
      <c r="G53" s="8"/>
      <c r="H53" s="1"/>
    </row>
    <row r="54" spans="1:8" ht="12.75">
      <c r="A54" s="6"/>
      <c r="B54" s="177" t="s">
        <v>40</v>
      </c>
      <c r="C54" s="177"/>
      <c r="D54" s="6"/>
      <c r="E54" s="178" t="s">
        <v>11</v>
      </c>
      <c r="F54" s="178"/>
      <c r="G54" s="9"/>
      <c r="H54" s="6"/>
    </row>
    <row r="57" spans="1:8" ht="11.25" customHeight="1">
      <c r="A57" s="1"/>
      <c r="B57" s="179"/>
      <c r="C57" s="179"/>
      <c r="D57" s="1"/>
      <c r="E57" s="190"/>
      <c r="F57" s="190"/>
      <c r="G57" s="8"/>
      <c r="H57" s="1"/>
    </row>
    <row r="58" spans="1:8" ht="12.75">
      <c r="A58" s="6"/>
      <c r="B58" s="177" t="s">
        <v>78</v>
      </c>
      <c r="C58" s="177"/>
      <c r="D58" s="6"/>
      <c r="E58" s="178"/>
      <c r="F58" s="178"/>
      <c r="G58" s="9"/>
      <c r="H58" s="6"/>
    </row>
    <row r="59" ht="12" customHeight="1"/>
    <row r="60" ht="11.25" customHeight="1"/>
    <row r="61" ht="12" customHeight="1"/>
    <row r="62" ht="13.5" customHeight="1"/>
    <row r="63" ht="4.5" customHeight="1"/>
  </sheetData>
  <sheetProtection/>
  <mergeCells count="25">
    <mergeCell ref="A2:H2"/>
    <mergeCell ref="F9:F10"/>
    <mergeCell ref="E9:E10"/>
    <mergeCell ref="F7:H7"/>
    <mergeCell ref="A6:E6"/>
    <mergeCell ref="A7:E7"/>
    <mergeCell ref="E8:H8"/>
    <mergeCell ref="A4:H4"/>
    <mergeCell ref="F6:H6"/>
    <mergeCell ref="A11:H11"/>
    <mergeCell ref="A3:H3"/>
    <mergeCell ref="E57:F57"/>
    <mergeCell ref="B58:C58"/>
    <mergeCell ref="E58:F58"/>
    <mergeCell ref="B57:C57"/>
    <mergeCell ref="C1:H1"/>
    <mergeCell ref="A1:B1"/>
    <mergeCell ref="B54:C54"/>
    <mergeCell ref="E54:F54"/>
    <mergeCell ref="E53:F53"/>
    <mergeCell ref="B53:C53"/>
    <mergeCell ref="A8:D8"/>
    <mergeCell ref="A10:D10"/>
    <mergeCell ref="A9:D9"/>
    <mergeCell ref="A50:G50"/>
  </mergeCells>
  <printOptions/>
  <pageMargins left="0.7874015748031497" right="0.1968503937007874" top="0.3937007874015748" bottom="0.3937007874015748" header="0" footer="0"/>
  <pageSetup horizontalDpi="600" verticalDpi="600" orientation="portrait" paperSize="9" scale="77" r:id="rId2"/>
  <headerFooter alignWithMargins="0">
    <oddHeader>&amp;R
 &amp;P de &amp;N</oddHeader>
  </headerFooter>
  <rowBreaks count="1" manualBreakCount="1">
    <brk id="35" max="7" man="1"/>
  </rowBreaks>
  <drawing r:id="rId1"/>
</worksheet>
</file>

<file path=xl/worksheets/sheet3.xml><?xml version="1.0" encoding="utf-8"?>
<worksheet xmlns="http://schemas.openxmlformats.org/spreadsheetml/2006/main" xmlns:r="http://schemas.openxmlformats.org/officeDocument/2006/relationships">
  <sheetPr>
    <tabColor rgb="FF7030A0"/>
  </sheetPr>
  <dimension ref="A1:L86"/>
  <sheetViews>
    <sheetView zoomScalePageLayoutView="0" workbookViewId="0" topLeftCell="C19">
      <selection activeCell="L86" sqref="L86"/>
    </sheetView>
  </sheetViews>
  <sheetFormatPr defaultColWidth="9.140625" defaultRowHeight="12.75"/>
  <cols>
    <col min="1" max="1" width="7.8515625" style="0" customWidth="1"/>
    <col min="2" max="2" width="12.7109375" style="0" customWidth="1"/>
    <col min="3" max="3" width="72.28125" style="0" customWidth="1"/>
    <col min="4" max="4" width="7.7109375" style="0" customWidth="1"/>
    <col min="5" max="5" width="9.140625" style="0" hidden="1" customWidth="1"/>
    <col min="7" max="7" width="14.421875" style="0" customWidth="1"/>
    <col min="8" max="8" width="14.421875" style="76" customWidth="1"/>
    <col min="9" max="9" width="14.421875" style="77" customWidth="1"/>
    <col min="10" max="10" width="13.00390625" style="0" customWidth="1"/>
    <col min="11" max="11" width="12.57421875" style="0" customWidth="1"/>
    <col min="12" max="12" width="13.00390625" style="0" customWidth="1"/>
  </cols>
  <sheetData>
    <row r="1" spans="1:12" ht="12.75">
      <c r="A1" s="223" t="s">
        <v>140</v>
      </c>
      <c r="B1" s="223"/>
      <c r="C1" s="223"/>
      <c r="D1" s="223"/>
      <c r="E1" s="223"/>
      <c r="F1" s="223"/>
      <c r="G1" s="223"/>
      <c r="H1" s="223"/>
      <c r="I1" s="223"/>
      <c r="J1" s="223"/>
      <c r="K1" s="223"/>
      <c r="L1" s="223"/>
    </row>
    <row r="2" spans="1:12" ht="12.75">
      <c r="A2" s="225" t="s">
        <v>141</v>
      </c>
      <c r="B2" s="225"/>
      <c r="C2" s="225"/>
      <c r="D2" s="225"/>
      <c r="E2" s="225"/>
      <c r="F2" s="225"/>
      <c r="G2" s="225" t="s">
        <v>142</v>
      </c>
      <c r="H2" s="225"/>
      <c r="I2" s="225"/>
      <c r="J2" s="225"/>
      <c r="K2" s="225"/>
      <c r="L2" s="225"/>
    </row>
    <row r="3" spans="1:12" ht="12.75">
      <c r="A3" s="224" t="s">
        <v>143</v>
      </c>
      <c r="B3" s="224"/>
      <c r="C3" s="224"/>
      <c r="D3" s="224"/>
      <c r="E3" s="224"/>
      <c r="F3" s="224"/>
      <c r="G3" s="216" t="s">
        <v>144</v>
      </c>
      <c r="H3" s="216"/>
      <c r="I3" s="216"/>
      <c r="J3" s="216"/>
      <c r="K3" s="216"/>
      <c r="L3" s="216"/>
    </row>
    <row r="4" spans="1:12" ht="12.75">
      <c r="A4" s="79" t="s">
        <v>145</v>
      </c>
      <c r="B4" s="79"/>
      <c r="C4" s="79"/>
      <c r="D4" s="216" t="s">
        <v>146</v>
      </c>
      <c r="E4" s="216"/>
      <c r="F4" s="216"/>
      <c r="G4" s="216"/>
      <c r="H4" s="216"/>
      <c r="I4" s="216"/>
      <c r="J4" s="216"/>
      <c r="K4" s="216"/>
      <c r="L4" s="216"/>
    </row>
    <row r="5" spans="1:12" ht="12.75">
      <c r="A5" s="79" t="s">
        <v>147</v>
      </c>
      <c r="B5" s="79"/>
      <c r="C5" s="80"/>
      <c r="D5" s="217" t="s">
        <v>148</v>
      </c>
      <c r="E5" s="217"/>
      <c r="F5" s="217"/>
      <c r="G5" s="217"/>
      <c r="H5" s="217"/>
      <c r="I5" s="217"/>
      <c r="J5" s="217"/>
      <c r="K5" s="223" t="s">
        <v>149</v>
      </c>
      <c r="L5" s="223"/>
    </row>
    <row r="6" spans="1:12" ht="12.75">
      <c r="A6" s="79" t="s">
        <v>150</v>
      </c>
      <c r="B6" s="79"/>
      <c r="C6" s="80"/>
      <c r="D6" s="217"/>
      <c r="E6" s="217"/>
      <c r="F6" s="217"/>
      <c r="G6" s="217"/>
      <c r="H6" s="217"/>
      <c r="I6" s="217"/>
      <c r="J6" s="217"/>
      <c r="K6" s="224" t="s">
        <v>151</v>
      </c>
      <c r="L6" s="224"/>
    </row>
    <row r="7" spans="1:12" ht="45" customHeight="1">
      <c r="A7" s="78" t="s">
        <v>0</v>
      </c>
      <c r="B7" s="78" t="s">
        <v>5</v>
      </c>
      <c r="C7" s="223" t="s">
        <v>152</v>
      </c>
      <c r="D7" s="223"/>
      <c r="E7" s="223"/>
      <c r="F7" s="82" t="s">
        <v>3</v>
      </c>
      <c r="G7" s="78" t="s">
        <v>2</v>
      </c>
      <c r="H7" s="83" t="s">
        <v>320</v>
      </c>
      <c r="I7" s="84" t="s">
        <v>321</v>
      </c>
      <c r="J7" s="85" t="s">
        <v>153</v>
      </c>
      <c r="K7" s="86" t="s">
        <v>154</v>
      </c>
      <c r="L7" s="78" t="s">
        <v>10</v>
      </c>
    </row>
    <row r="8" spans="1:12" s="56" customFormat="1" ht="12.75">
      <c r="A8" s="94">
        <v>1</v>
      </c>
      <c r="B8" s="95"/>
      <c r="C8" s="221" t="s">
        <v>155</v>
      </c>
      <c r="D8" s="221"/>
      <c r="E8" s="221"/>
      <c r="F8" s="95"/>
      <c r="G8" s="96"/>
      <c r="H8" s="97"/>
      <c r="I8" s="98"/>
      <c r="J8" s="96"/>
      <c r="K8" s="96"/>
      <c r="L8" s="99"/>
    </row>
    <row r="9" spans="1:12" ht="12.75">
      <c r="A9" s="78" t="s">
        <v>16</v>
      </c>
      <c r="B9" s="80"/>
      <c r="C9" s="220" t="s">
        <v>156</v>
      </c>
      <c r="D9" s="220"/>
      <c r="E9" s="220"/>
      <c r="F9" s="80"/>
      <c r="G9" s="81"/>
      <c r="H9" s="87"/>
      <c r="I9" s="88"/>
      <c r="J9" s="81"/>
      <c r="K9" s="81"/>
      <c r="L9" s="81"/>
    </row>
    <row r="10" spans="1:12" ht="12.75">
      <c r="A10" s="78" t="s">
        <v>157</v>
      </c>
      <c r="B10" s="80" t="s">
        <v>158</v>
      </c>
      <c r="C10" s="220" t="s">
        <v>159</v>
      </c>
      <c r="D10" s="220"/>
      <c r="E10" s="220"/>
      <c r="F10" s="81" t="s">
        <v>160</v>
      </c>
      <c r="G10" s="81">
        <v>15</v>
      </c>
      <c r="H10" s="87">
        <f>15</f>
        <v>15</v>
      </c>
      <c r="I10" s="88">
        <f>G10-H10</f>
        <v>0</v>
      </c>
      <c r="J10" s="81">
        <v>271.23</v>
      </c>
      <c r="K10" s="90">
        <f>(J10*0.26)+J10</f>
        <v>341.74980000000005</v>
      </c>
      <c r="L10" s="89">
        <f>G10*K10</f>
        <v>5126.247000000001</v>
      </c>
    </row>
    <row r="11" spans="1:12" ht="30.75" customHeight="1">
      <c r="A11" s="78" t="s">
        <v>161</v>
      </c>
      <c r="B11" s="80" t="s">
        <v>162</v>
      </c>
      <c r="C11" s="219" t="s">
        <v>163</v>
      </c>
      <c r="D11" s="219"/>
      <c r="E11" s="219"/>
      <c r="F11" s="81" t="s">
        <v>164</v>
      </c>
      <c r="G11" s="81">
        <v>1</v>
      </c>
      <c r="H11" s="87">
        <f>1</f>
        <v>1</v>
      </c>
      <c r="I11" s="88">
        <f aca="true" t="shared" si="0" ref="I11:I74">G11-H11</f>
        <v>0</v>
      </c>
      <c r="J11" s="81">
        <v>723.45</v>
      </c>
      <c r="K11" s="90">
        <f aca="true" t="shared" si="1" ref="K11:K74">(J11*0.26)+J11</f>
        <v>911.547</v>
      </c>
      <c r="L11" s="89">
        <f aca="true" t="shared" si="2" ref="L11:L74">G11*K11</f>
        <v>911.547</v>
      </c>
    </row>
    <row r="12" spans="1:12" ht="12.75">
      <c r="A12" s="78" t="s">
        <v>165</v>
      </c>
      <c r="B12" s="80" t="s">
        <v>166</v>
      </c>
      <c r="C12" s="220" t="s">
        <v>167</v>
      </c>
      <c r="D12" s="220"/>
      <c r="E12" s="220"/>
      <c r="F12" s="81" t="s">
        <v>164</v>
      </c>
      <c r="G12" s="81">
        <v>1</v>
      </c>
      <c r="H12" s="87">
        <f>1</f>
        <v>1</v>
      </c>
      <c r="I12" s="88">
        <f t="shared" si="0"/>
        <v>0</v>
      </c>
      <c r="J12" s="81">
        <v>867.55</v>
      </c>
      <c r="K12" s="90">
        <f t="shared" si="1"/>
        <v>1093.1129999999998</v>
      </c>
      <c r="L12" s="89">
        <f t="shared" si="2"/>
        <v>1093.1129999999998</v>
      </c>
    </row>
    <row r="13" spans="1:12" ht="12.75">
      <c r="A13" s="78" t="s">
        <v>168</v>
      </c>
      <c r="B13" s="80" t="s">
        <v>169</v>
      </c>
      <c r="C13" s="220" t="s">
        <v>170</v>
      </c>
      <c r="D13" s="220"/>
      <c r="E13" s="220"/>
      <c r="F13" s="81" t="s">
        <v>164</v>
      </c>
      <c r="G13" s="81">
        <v>1</v>
      </c>
      <c r="H13" s="87">
        <f>1</f>
        <v>1</v>
      </c>
      <c r="I13" s="88">
        <f t="shared" si="0"/>
        <v>0</v>
      </c>
      <c r="J13" s="81">
        <v>398.25</v>
      </c>
      <c r="K13" s="90">
        <f t="shared" si="1"/>
        <v>501.795</v>
      </c>
      <c r="L13" s="89">
        <f t="shared" si="2"/>
        <v>501.795</v>
      </c>
    </row>
    <row r="14" spans="1:12" ht="12.75">
      <c r="A14" s="78"/>
      <c r="B14" s="80"/>
      <c r="C14" s="220"/>
      <c r="D14" s="220"/>
      <c r="E14" s="80"/>
      <c r="F14" s="81"/>
      <c r="G14" s="81"/>
      <c r="H14" s="87"/>
      <c r="I14" s="88">
        <f t="shared" si="0"/>
        <v>0</v>
      </c>
      <c r="J14" s="81"/>
      <c r="K14" s="90"/>
      <c r="L14" s="89"/>
    </row>
    <row r="15" spans="1:12" s="56" customFormat="1" ht="12.75">
      <c r="A15" s="94">
        <v>2</v>
      </c>
      <c r="B15" s="95"/>
      <c r="C15" s="222" t="s">
        <v>171</v>
      </c>
      <c r="D15" s="222"/>
      <c r="E15" s="95"/>
      <c r="F15" s="96"/>
      <c r="G15" s="96"/>
      <c r="H15" s="97"/>
      <c r="I15" s="98">
        <f t="shared" si="0"/>
        <v>0</v>
      </c>
      <c r="J15" s="96"/>
      <c r="K15" s="100"/>
      <c r="L15" s="99"/>
    </row>
    <row r="16" spans="1:12" ht="12.75">
      <c r="A16" s="78" t="s">
        <v>19</v>
      </c>
      <c r="B16" s="80"/>
      <c r="C16" s="220" t="s">
        <v>17</v>
      </c>
      <c r="D16" s="220"/>
      <c r="E16" s="80"/>
      <c r="F16" s="81"/>
      <c r="G16" s="81"/>
      <c r="H16" s="87"/>
      <c r="I16" s="88">
        <f t="shared" si="0"/>
        <v>0</v>
      </c>
      <c r="J16" s="81"/>
      <c r="K16" s="90"/>
      <c r="L16" s="89"/>
    </row>
    <row r="17" spans="1:12" ht="30" customHeight="1">
      <c r="A17" s="78" t="s">
        <v>70</v>
      </c>
      <c r="B17" s="80" t="s">
        <v>172</v>
      </c>
      <c r="C17" s="219" t="s">
        <v>173</v>
      </c>
      <c r="D17" s="219"/>
      <c r="E17" s="80"/>
      <c r="F17" s="81" t="s">
        <v>160</v>
      </c>
      <c r="G17" s="91">
        <v>2404.42</v>
      </c>
      <c r="H17" s="92">
        <f>2404.42</f>
        <v>2404.42</v>
      </c>
      <c r="I17" s="88">
        <f t="shared" si="0"/>
        <v>0</v>
      </c>
      <c r="J17" s="81">
        <v>5.61</v>
      </c>
      <c r="K17" s="90">
        <f t="shared" si="1"/>
        <v>7.0686</v>
      </c>
      <c r="L17" s="89">
        <f t="shared" si="2"/>
        <v>16995.883212</v>
      </c>
    </row>
    <row r="18" spans="1:12" ht="12.75">
      <c r="A18" s="78"/>
      <c r="B18" s="80"/>
      <c r="C18" s="220"/>
      <c r="D18" s="220"/>
      <c r="E18" s="80"/>
      <c r="F18" s="81"/>
      <c r="G18" s="81"/>
      <c r="H18" s="87"/>
      <c r="I18" s="88">
        <f t="shared" si="0"/>
        <v>0</v>
      </c>
      <c r="J18" s="81"/>
      <c r="K18" s="90"/>
      <c r="L18" s="89"/>
    </row>
    <row r="19" spans="1:12" s="56" customFormat="1" ht="12.75">
      <c r="A19" s="101">
        <v>3</v>
      </c>
      <c r="B19" s="95"/>
      <c r="C19" s="222" t="s">
        <v>116</v>
      </c>
      <c r="D19" s="222"/>
      <c r="E19" s="95"/>
      <c r="F19" s="96"/>
      <c r="G19" s="96"/>
      <c r="H19" s="97"/>
      <c r="I19" s="98">
        <f t="shared" si="0"/>
        <v>0</v>
      </c>
      <c r="J19" s="96"/>
      <c r="K19" s="100"/>
      <c r="L19" s="99"/>
    </row>
    <row r="20" spans="1:12" ht="12.75">
      <c r="A20" s="78" t="s">
        <v>22</v>
      </c>
      <c r="B20" s="80"/>
      <c r="C20" s="220" t="s">
        <v>174</v>
      </c>
      <c r="D20" s="220"/>
      <c r="E20" s="80"/>
      <c r="F20" s="81"/>
      <c r="G20" s="81"/>
      <c r="H20" s="87"/>
      <c r="I20" s="88">
        <f t="shared" si="0"/>
        <v>0</v>
      </c>
      <c r="J20" s="81"/>
      <c r="K20" s="90"/>
      <c r="L20" s="89"/>
    </row>
    <row r="21" spans="1:12" ht="30.75" customHeight="1">
      <c r="A21" s="78" t="s">
        <v>72</v>
      </c>
      <c r="B21" s="80" t="s">
        <v>175</v>
      </c>
      <c r="C21" s="219" t="s">
        <v>176</v>
      </c>
      <c r="D21" s="219"/>
      <c r="E21" s="80"/>
      <c r="F21" s="81" t="s">
        <v>160</v>
      </c>
      <c r="G21" s="91">
        <v>1326.61</v>
      </c>
      <c r="H21" s="92"/>
      <c r="I21" s="88">
        <f t="shared" si="0"/>
        <v>1326.61</v>
      </c>
      <c r="J21" s="81">
        <v>12.79</v>
      </c>
      <c r="K21" s="90">
        <f t="shared" si="1"/>
        <v>16.115399999999998</v>
      </c>
      <c r="L21" s="89">
        <f t="shared" si="2"/>
        <v>21378.850793999994</v>
      </c>
    </row>
    <row r="22" spans="1:12" ht="30.75" customHeight="1">
      <c r="A22" s="78" t="s">
        <v>73</v>
      </c>
      <c r="B22" s="80" t="s">
        <v>177</v>
      </c>
      <c r="C22" s="219" t="s">
        <v>178</v>
      </c>
      <c r="D22" s="219"/>
      <c r="E22" s="80"/>
      <c r="F22" s="81" t="s">
        <v>164</v>
      </c>
      <c r="G22" s="81">
        <v>72</v>
      </c>
      <c r="H22" s="87"/>
      <c r="I22" s="88">
        <f t="shared" si="0"/>
        <v>72</v>
      </c>
      <c r="J22" s="81">
        <v>5.47</v>
      </c>
      <c r="K22" s="90">
        <f t="shared" si="1"/>
        <v>6.8922</v>
      </c>
      <c r="L22" s="89">
        <f t="shared" si="2"/>
        <v>496.2384</v>
      </c>
    </row>
    <row r="23" spans="1:12" ht="12.75">
      <c r="A23" s="78" t="s">
        <v>74</v>
      </c>
      <c r="B23" s="80" t="s">
        <v>179</v>
      </c>
      <c r="C23" s="220" t="s">
        <v>180</v>
      </c>
      <c r="D23" s="220"/>
      <c r="E23" s="80"/>
      <c r="F23" s="81" t="s">
        <v>164</v>
      </c>
      <c r="G23" s="81">
        <v>32</v>
      </c>
      <c r="H23" s="87"/>
      <c r="I23" s="88">
        <f t="shared" si="0"/>
        <v>32</v>
      </c>
      <c r="J23" s="81">
        <v>14.01</v>
      </c>
      <c r="K23" s="90">
        <f t="shared" si="1"/>
        <v>17.6526</v>
      </c>
      <c r="L23" s="89">
        <f t="shared" si="2"/>
        <v>564.8832</v>
      </c>
    </row>
    <row r="24" spans="1:12" ht="12.75">
      <c r="A24" s="78" t="s">
        <v>181</v>
      </c>
      <c r="B24" s="80" t="s">
        <v>179</v>
      </c>
      <c r="C24" s="220" t="s">
        <v>182</v>
      </c>
      <c r="D24" s="220"/>
      <c r="E24" s="80"/>
      <c r="F24" s="81" t="s">
        <v>164</v>
      </c>
      <c r="G24" s="81">
        <v>27</v>
      </c>
      <c r="H24" s="87"/>
      <c r="I24" s="88">
        <f t="shared" si="0"/>
        <v>27</v>
      </c>
      <c r="J24" s="81">
        <v>17.42</v>
      </c>
      <c r="K24" s="90">
        <f t="shared" si="1"/>
        <v>21.9492</v>
      </c>
      <c r="L24" s="89">
        <f t="shared" si="2"/>
        <v>592.6284</v>
      </c>
    </row>
    <row r="25" spans="1:12" ht="12.75">
      <c r="A25" s="78" t="s">
        <v>183</v>
      </c>
      <c r="B25" s="80" t="s">
        <v>184</v>
      </c>
      <c r="C25" s="220" t="s">
        <v>185</v>
      </c>
      <c r="D25" s="220"/>
      <c r="E25" s="80"/>
      <c r="F25" s="81" t="s">
        <v>164</v>
      </c>
      <c r="G25" s="81">
        <v>13</v>
      </c>
      <c r="H25" s="87"/>
      <c r="I25" s="88">
        <f t="shared" si="0"/>
        <v>13</v>
      </c>
      <c r="J25" s="81">
        <v>53.79</v>
      </c>
      <c r="K25" s="90">
        <f t="shared" si="1"/>
        <v>67.7754</v>
      </c>
      <c r="L25" s="89">
        <f t="shared" si="2"/>
        <v>881.0802000000001</v>
      </c>
    </row>
    <row r="26" spans="1:12" ht="12.75">
      <c r="A26" s="78" t="s">
        <v>186</v>
      </c>
      <c r="B26" s="80" t="s">
        <v>187</v>
      </c>
      <c r="C26" s="220" t="s">
        <v>188</v>
      </c>
      <c r="D26" s="220"/>
      <c r="E26" s="80"/>
      <c r="F26" s="81" t="s">
        <v>23</v>
      </c>
      <c r="G26" s="81">
        <v>538.56</v>
      </c>
      <c r="H26" s="87">
        <f>60+478.56</f>
        <v>538.56</v>
      </c>
      <c r="I26" s="88">
        <f t="shared" si="0"/>
        <v>0</v>
      </c>
      <c r="J26" s="81">
        <v>13.95</v>
      </c>
      <c r="K26" s="90">
        <f t="shared" si="1"/>
        <v>17.576999999999998</v>
      </c>
      <c r="L26" s="89">
        <f t="shared" si="2"/>
        <v>9466.269119999997</v>
      </c>
    </row>
    <row r="27" spans="1:12" ht="12.75">
      <c r="A27" s="78"/>
      <c r="B27" s="80"/>
      <c r="C27" s="220"/>
      <c r="D27" s="220"/>
      <c r="E27" s="80"/>
      <c r="F27" s="81"/>
      <c r="G27" s="81"/>
      <c r="H27" s="87"/>
      <c r="I27" s="88">
        <f t="shared" si="0"/>
        <v>0</v>
      </c>
      <c r="J27" s="81"/>
      <c r="K27" s="90"/>
      <c r="L27" s="89"/>
    </row>
    <row r="28" spans="1:12" s="56" customFormat="1" ht="12.75">
      <c r="A28" s="94">
        <v>4</v>
      </c>
      <c r="B28" s="95"/>
      <c r="C28" s="222" t="s">
        <v>189</v>
      </c>
      <c r="D28" s="222"/>
      <c r="E28" s="95"/>
      <c r="F28" s="96"/>
      <c r="G28" s="96"/>
      <c r="H28" s="97"/>
      <c r="I28" s="98">
        <f t="shared" si="0"/>
        <v>0</v>
      </c>
      <c r="J28" s="96"/>
      <c r="K28" s="100"/>
      <c r="L28" s="99"/>
    </row>
    <row r="29" spans="1:12" ht="12.75">
      <c r="A29" s="78" t="s">
        <v>119</v>
      </c>
      <c r="B29" s="80"/>
      <c r="C29" s="220" t="s">
        <v>190</v>
      </c>
      <c r="D29" s="220"/>
      <c r="E29" s="80"/>
      <c r="F29" s="81"/>
      <c r="G29" s="81"/>
      <c r="H29" s="87"/>
      <c r="I29" s="88">
        <f t="shared" si="0"/>
        <v>0</v>
      </c>
      <c r="J29" s="81"/>
      <c r="K29" s="90"/>
      <c r="L29" s="89"/>
    </row>
    <row r="30" spans="1:12" ht="29.25" customHeight="1">
      <c r="A30" s="78" t="s">
        <v>75</v>
      </c>
      <c r="B30" s="80" t="s">
        <v>191</v>
      </c>
      <c r="C30" s="219" t="s">
        <v>192</v>
      </c>
      <c r="D30" s="219"/>
      <c r="E30" s="80"/>
      <c r="F30" s="81" t="s">
        <v>164</v>
      </c>
      <c r="G30" s="81">
        <v>1</v>
      </c>
      <c r="H30" s="87">
        <f>1</f>
        <v>1</v>
      </c>
      <c r="I30" s="88">
        <f t="shared" si="0"/>
        <v>0</v>
      </c>
      <c r="J30" s="81">
        <v>19.32</v>
      </c>
      <c r="K30" s="90">
        <f t="shared" si="1"/>
        <v>24.3432</v>
      </c>
      <c r="L30" s="89">
        <f t="shared" si="2"/>
        <v>24.3432</v>
      </c>
    </row>
    <row r="31" spans="1:12" ht="15" customHeight="1">
      <c r="A31" s="78" t="s">
        <v>76</v>
      </c>
      <c r="B31" s="80" t="s">
        <v>193</v>
      </c>
      <c r="C31" s="219" t="s">
        <v>194</v>
      </c>
      <c r="D31" s="219"/>
      <c r="E31" s="80"/>
      <c r="F31" s="81" t="s">
        <v>164</v>
      </c>
      <c r="G31" s="81">
        <v>1</v>
      </c>
      <c r="H31" s="87">
        <f>1</f>
        <v>1</v>
      </c>
      <c r="I31" s="88">
        <f t="shared" si="0"/>
        <v>0</v>
      </c>
      <c r="J31" s="81">
        <v>8121.89</v>
      </c>
      <c r="K31" s="90">
        <f t="shared" si="1"/>
        <v>10233.581400000001</v>
      </c>
      <c r="L31" s="89">
        <f t="shared" si="2"/>
        <v>10233.581400000001</v>
      </c>
    </row>
    <row r="32" spans="1:12" ht="12.75">
      <c r="A32" s="78" t="s">
        <v>77</v>
      </c>
      <c r="B32" s="80" t="s">
        <v>195</v>
      </c>
      <c r="C32" s="216" t="s">
        <v>196</v>
      </c>
      <c r="D32" s="216"/>
      <c r="E32" s="80"/>
      <c r="F32" s="81" t="s">
        <v>164</v>
      </c>
      <c r="G32" s="81">
        <v>4</v>
      </c>
      <c r="H32" s="87">
        <f>4</f>
        <v>4</v>
      </c>
      <c r="I32" s="88">
        <f t="shared" si="0"/>
        <v>0</v>
      </c>
      <c r="J32" s="81">
        <v>17.65</v>
      </c>
      <c r="K32" s="90">
        <f t="shared" si="1"/>
        <v>22.238999999999997</v>
      </c>
      <c r="L32" s="89">
        <f t="shared" si="2"/>
        <v>88.95599999999999</v>
      </c>
    </row>
    <row r="33" spans="1:12" ht="12.75">
      <c r="A33" s="78" t="s">
        <v>197</v>
      </c>
      <c r="B33" s="80" t="s">
        <v>198</v>
      </c>
      <c r="C33" s="216" t="s">
        <v>199</v>
      </c>
      <c r="D33" s="216"/>
      <c r="E33" s="80"/>
      <c r="F33" s="81" t="s">
        <v>164</v>
      </c>
      <c r="G33" s="81">
        <v>2</v>
      </c>
      <c r="H33" s="87">
        <f>2</f>
        <v>2</v>
      </c>
      <c r="I33" s="88">
        <f t="shared" si="0"/>
        <v>0</v>
      </c>
      <c r="J33" s="81">
        <v>46.43</v>
      </c>
      <c r="K33" s="90">
        <f t="shared" si="1"/>
        <v>58.5018</v>
      </c>
      <c r="L33" s="89">
        <f t="shared" si="2"/>
        <v>117.0036</v>
      </c>
    </row>
    <row r="34" spans="1:12" ht="12.75">
      <c r="A34" s="78" t="s">
        <v>200</v>
      </c>
      <c r="B34" s="80" t="s">
        <v>201</v>
      </c>
      <c r="C34" s="216" t="s">
        <v>202</v>
      </c>
      <c r="D34" s="216"/>
      <c r="E34" s="80"/>
      <c r="F34" s="81" t="s">
        <v>203</v>
      </c>
      <c r="G34" s="81">
        <v>2</v>
      </c>
      <c r="H34" s="87">
        <f>2</f>
        <v>2</v>
      </c>
      <c r="I34" s="88">
        <f t="shared" si="0"/>
        <v>0</v>
      </c>
      <c r="J34" s="81">
        <v>50.73</v>
      </c>
      <c r="K34" s="90">
        <f t="shared" si="1"/>
        <v>63.919799999999995</v>
      </c>
      <c r="L34" s="89">
        <f t="shared" si="2"/>
        <v>127.83959999999999</v>
      </c>
    </row>
    <row r="35" spans="1:12" ht="12.75">
      <c r="A35" s="78" t="s">
        <v>204</v>
      </c>
      <c r="B35" s="80" t="s">
        <v>205</v>
      </c>
      <c r="C35" s="216" t="s">
        <v>206</v>
      </c>
      <c r="D35" s="216"/>
      <c r="E35" s="80"/>
      <c r="F35" s="81" t="s">
        <v>23</v>
      </c>
      <c r="G35" s="81">
        <v>42</v>
      </c>
      <c r="H35" s="87">
        <f>42</f>
        <v>42</v>
      </c>
      <c r="I35" s="88">
        <f t="shared" si="0"/>
        <v>0</v>
      </c>
      <c r="J35" s="81">
        <v>14.15</v>
      </c>
      <c r="K35" s="90">
        <f t="shared" si="1"/>
        <v>17.829</v>
      </c>
      <c r="L35" s="89">
        <f t="shared" si="2"/>
        <v>748.818</v>
      </c>
    </row>
    <row r="36" spans="1:12" ht="12.75">
      <c r="A36" s="78" t="s">
        <v>207</v>
      </c>
      <c r="B36" s="80" t="s">
        <v>208</v>
      </c>
      <c r="C36" s="216" t="s">
        <v>209</v>
      </c>
      <c r="D36" s="216"/>
      <c r="E36" s="80"/>
      <c r="F36" s="81" t="s">
        <v>23</v>
      </c>
      <c r="G36" s="81">
        <v>20</v>
      </c>
      <c r="H36" s="87">
        <f>20</f>
        <v>20</v>
      </c>
      <c r="I36" s="88">
        <f t="shared" si="0"/>
        <v>0</v>
      </c>
      <c r="J36" s="81">
        <v>10.22</v>
      </c>
      <c r="K36" s="90">
        <f t="shared" si="1"/>
        <v>12.877200000000002</v>
      </c>
      <c r="L36" s="89">
        <f t="shared" si="2"/>
        <v>257.54400000000004</v>
      </c>
    </row>
    <row r="37" spans="1:12" ht="12.75">
      <c r="A37" s="78" t="s">
        <v>210</v>
      </c>
      <c r="B37" s="80" t="s">
        <v>211</v>
      </c>
      <c r="C37" s="216" t="s">
        <v>212</v>
      </c>
      <c r="D37" s="216"/>
      <c r="E37" s="80"/>
      <c r="F37" s="81" t="s">
        <v>23</v>
      </c>
      <c r="G37" s="81">
        <v>24</v>
      </c>
      <c r="H37" s="87">
        <f>24</f>
        <v>24</v>
      </c>
      <c r="I37" s="88">
        <f t="shared" si="0"/>
        <v>0</v>
      </c>
      <c r="J37" s="81">
        <v>17.81</v>
      </c>
      <c r="K37" s="90">
        <f t="shared" si="1"/>
        <v>22.440599999999996</v>
      </c>
      <c r="L37" s="89">
        <f t="shared" si="2"/>
        <v>538.5744</v>
      </c>
    </row>
    <row r="38" spans="1:12" ht="12.75">
      <c r="A38" s="78" t="s">
        <v>213</v>
      </c>
      <c r="B38" s="80" t="s">
        <v>214</v>
      </c>
      <c r="C38" s="216" t="s">
        <v>215</v>
      </c>
      <c r="D38" s="216"/>
      <c r="E38" s="80"/>
      <c r="F38" s="81" t="s">
        <v>23</v>
      </c>
      <c r="G38" s="81">
        <v>178.39</v>
      </c>
      <c r="H38" s="87">
        <f>178.39</f>
        <v>178.39</v>
      </c>
      <c r="I38" s="88">
        <f t="shared" si="0"/>
        <v>0</v>
      </c>
      <c r="J38" s="81">
        <v>20.42</v>
      </c>
      <c r="K38" s="90">
        <f t="shared" si="1"/>
        <v>25.729200000000002</v>
      </c>
      <c r="L38" s="89">
        <f t="shared" si="2"/>
        <v>4589.831988</v>
      </c>
    </row>
    <row r="39" spans="1:12" ht="12.75">
      <c r="A39" s="78" t="s">
        <v>216</v>
      </c>
      <c r="B39" s="80" t="s">
        <v>217</v>
      </c>
      <c r="C39" s="216" t="s">
        <v>218</v>
      </c>
      <c r="D39" s="216"/>
      <c r="E39" s="80"/>
      <c r="F39" s="81" t="s">
        <v>164</v>
      </c>
      <c r="G39" s="81">
        <v>1</v>
      </c>
      <c r="H39" s="87"/>
      <c r="I39" s="88">
        <f t="shared" si="0"/>
        <v>1</v>
      </c>
      <c r="J39" s="81">
        <v>884.76</v>
      </c>
      <c r="K39" s="90">
        <f t="shared" si="1"/>
        <v>1114.7975999999999</v>
      </c>
      <c r="L39" s="89">
        <f t="shared" si="2"/>
        <v>1114.7975999999999</v>
      </c>
    </row>
    <row r="40" spans="1:12" ht="12.75">
      <c r="A40" s="78" t="s">
        <v>219</v>
      </c>
      <c r="B40" s="80" t="s">
        <v>220</v>
      </c>
      <c r="C40" s="216" t="s">
        <v>221</v>
      </c>
      <c r="D40" s="216"/>
      <c r="E40" s="80"/>
      <c r="F40" s="81" t="s">
        <v>164</v>
      </c>
      <c r="G40" s="81">
        <v>16</v>
      </c>
      <c r="H40" s="87">
        <f>16</f>
        <v>16</v>
      </c>
      <c r="I40" s="88">
        <f t="shared" si="0"/>
        <v>0</v>
      </c>
      <c r="J40" s="81">
        <v>30.59</v>
      </c>
      <c r="K40" s="90">
        <f t="shared" si="1"/>
        <v>38.5434</v>
      </c>
      <c r="L40" s="89">
        <f t="shared" si="2"/>
        <v>616.6944</v>
      </c>
    </row>
    <row r="41" spans="1:12" ht="12.75">
      <c r="A41" s="80"/>
      <c r="B41" s="80"/>
      <c r="C41" s="216"/>
      <c r="D41" s="216"/>
      <c r="E41" s="80"/>
      <c r="F41" s="80"/>
      <c r="G41" s="81"/>
      <c r="H41" s="87"/>
      <c r="I41" s="88">
        <f t="shared" si="0"/>
        <v>0</v>
      </c>
      <c r="J41" s="81"/>
      <c r="K41" s="90"/>
      <c r="L41" s="89"/>
    </row>
    <row r="42" spans="1:12" s="56" customFormat="1" ht="12.75">
      <c r="A42" s="96">
        <v>5</v>
      </c>
      <c r="B42" s="95"/>
      <c r="C42" s="221" t="s">
        <v>222</v>
      </c>
      <c r="D42" s="221"/>
      <c r="E42" s="95"/>
      <c r="F42" s="95"/>
      <c r="G42" s="96"/>
      <c r="H42" s="97"/>
      <c r="I42" s="98">
        <f t="shared" si="0"/>
        <v>0</v>
      </c>
      <c r="J42" s="96"/>
      <c r="K42" s="100"/>
      <c r="L42" s="99"/>
    </row>
    <row r="43" spans="1:12" ht="12.75">
      <c r="A43" s="78" t="s">
        <v>223</v>
      </c>
      <c r="B43" s="80"/>
      <c r="C43" s="216" t="s">
        <v>224</v>
      </c>
      <c r="D43" s="216"/>
      <c r="E43" s="80"/>
      <c r="F43" s="80"/>
      <c r="G43" s="81"/>
      <c r="H43" s="87"/>
      <c r="I43" s="88">
        <f t="shared" si="0"/>
        <v>0</v>
      </c>
      <c r="J43" s="81"/>
      <c r="K43" s="90"/>
      <c r="L43" s="89"/>
    </row>
    <row r="44" spans="1:12" ht="12.75">
      <c r="A44" s="78" t="s">
        <v>225</v>
      </c>
      <c r="B44" s="80" t="s">
        <v>122</v>
      </c>
      <c r="C44" s="216" t="s">
        <v>226</v>
      </c>
      <c r="D44" s="216"/>
      <c r="E44" s="80"/>
      <c r="F44" s="81" t="s">
        <v>23</v>
      </c>
      <c r="G44" s="81">
        <v>240</v>
      </c>
      <c r="H44" s="87">
        <f>240</f>
        <v>240</v>
      </c>
      <c r="I44" s="88">
        <f t="shared" si="0"/>
        <v>0</v>
      </c>
      <c r="J44" s="81">
        <v>10.58</v>
      </c>
      <c r="K44" s="90">
        <f t="shared" si="1"/>
        <v>13.3308</v>
      </c>
      <c r="L44" s="89">
        <f t="shared" si="2"/>
        <v>3199.392</v>
      </c>
    </row>
    <row r="45" spans="1:12" ht="12.75">
      <c r="A45" s="78" t="s">
        <v>227</v>
      </c>
      <c r="B45" s="80" t="s">
        <v>228</v>
      </c>
      <c r="C45" s="216" t="s">
        <v>229</v>
      </c>
      <c r="D45" s="216"/>
      <c r="E45" s="80"/>
      <c r="F45" s="81" t="s">
        <v>23</v>
      </c>
      <c r="G45" s="81">
        <v>120</v>
      </c>
      <c r="H45" s="87">
        <f>120</f>
        <v>120</v>
      </c>
      <c r="I45" s="88">
        <f t="shared" si="0"/>
        <v>0</v>
      </c>
      <c r="J45" s="81">
        <v>11.03</v>
      </c>
      <c r="K45" s="90">
        <f t="shared" si="1"/>
        <v>13.8978</v>
      </c>
      <c r="L45" s="89">
        <f t="shared" si="2"/>
        <v>1667.736</v>
      </c>
    </row>
    <row r="46" spans="1:12" ht="12.75">
      <c r="A46" s="78" t="s">
        <v>230</v>
      </c>
      <c r="B46" s="80" t="s">
        <v>136</v>
      </c>
      <c r="C46" s="216" t="s">
        <v>231</v>
      </c>
      <c r="D46" s="216"/>
      <c r="E46" s="80"/>
      <c r="F46" s="81" t="s">
        <v>164</v>
      </c>
      <c r="G46" s="81">
        <v>1</v>
      </c>
      <c r="H46" s="87">
        <f>1</f>
        <v>1</v>
      </c>
      <c r="I46" s="88">
        <f t="shared" si="0"/>
        <v>0</v>
      </c>
      <c r="J46" s="81">
        <v>1546.05</v>
      </c>
      <c r="K46" s="90">
        <f t="shared" si="1"/>
        <v>1948.023</v>
      </c>
      <c r="L46" s="89">
        <f t="shared" si="2"/>
        <v>1948.023</v>
      </c>
    </row>
    <row r="47" spans="1:12" ht="12.75">
      <c r="A47" s="78" t="s">
        <v>232</v>
      </c>
      <c r="B47" s="80" t="s">
        <v>233</v>
      </c>
      <c r="C47" s="216" t="s">
        <v>234</v>
      </c>
      <c r="D47" s="216"/>
      <c r="E47" s="80"/>
      <c r="F47" s="81" t="s">
        <v>164</v>
      </c>
      <c r="G47" s="81">
        <v>1</v>
      </c>
      <c r="H47" s="87">
        <f>1</f>
        <v>1</v>
      </c>
      <c r="I47" s="88">
        <f t="shared" si="0"/>
        <v>0</v>
      </c>
      <c r="J47" s="81">
        <v>161.35</v>
      </c>
      <c r="K47" s="90">
        <f t="shared" si="1"/>
        <v>203.301</v>
      </c>
      <c r="L47" s="89">
        <f t="shared" si="2"/>
        <v>203.301</v>
      </c>
    </row>
    <row r="48" spans="1:12" ht="29.25" customHeight="1">
      <c r="A48" s="78" t="s">
        <v>235</v>
      </c>
      <c r="B48" s="80" t="s">
        <v>236</v>
      </c>
      <c r="C48" s="219" t="s">
        <v>237</v>
      </c>
      <c r="D48" s="219"/>
      <c r="E48" s="80"/>
      <c r="F48" s="81" t="s">
        <v>23</v>
      </c>
      <c r="G48" s="81">
        <v>260</v>
      </c>
      <c r="H48" s="87">
        <f>260</f>
        <v>260</v>
      </c>
      <c r="I48" s="88">
        <f t="shared" si="0"/>
        <v>0</v>
      </c>
      <c r="J48" s="81">
        <v>8.86</v>
      </c>
      <c r="K48" s="90">
        <f t="shared" si="1"/>
        <v>11.163599999999999</v>
      </c>
      <c r="L48" s="89">
        <f t="shared" si="2"/>
        <v>2902.5359999999996</v>
      </c>
    </row>
    <row r="49" spans="1:12" ht="29.25" customHeight="1">
      <c r="A49" s="78" t="s">
        <v>238</v>
      </c>
      <c r="B49" s="80" t="s">
        <v>239</v>
      </c>
      <c r="C49" s="219" t="s">
        <v>240</v>
      </c>
      <c r="D49" s="219"/>
      <c r="E49" s="80"/>
      <c r="F49" s="81" t="s">
        <v>23</v>
      </c>
      <c r="G49" s="81">
        <v>10</v>
      </c>
      <c r="H49" s="87">
        <f>10</f>
        <v>10</v>
      </c>
      <c r="I49" s="88">
        <f t="shared" si="0"/>
        <v>0</v>
      </c>
      <c r="J49" s="81">
        <v>6.31</v>
      </c>
      <c r="K49" s="90">
        <f t="shared" si="1"/>
        <v>7.9506</v>
      </c>
      <c r="L49" s="89">
        <f t="shared" si="2"/>
        <v>79.506</v>
      </c>
    </row>
    <row r="50" spans="1:12" ht="12.75">
      <c r="A50" s="78" t="s">
        <v>241</v>
      </c>
      <c r="B50" s="80" t="s">
        <v>242</v>
      </c>
      <c r="C50" s="216" t="s">
        <v>243</v>
      </c>
      <c r="D50" s="216"/>
      <c r="E50" s="80"/>
      <c r="F50" s="81" t="s">
        <v>23</v>
      </c>
      <c r="G50" s="91">
        <v>1100</v>
      </c>
      <c r="H50" s="92">
        <f>1100</f>
        <v>1100</v>
      </c>
      <c r="I50" s="88">
        <f t="shared" si="0"/>
        <v>0</v>
      </c>
      <c r="J50" s="81">
        <v>3.5</v>
      </c>
      <c r="K50" s="90">
        <f t="shared" si="1"/>
        <v>4.41</v>
      </c>
      <c r="L50" s="89">
        <f t="shared" si="2"/>
        <v>4851</v>
      </c>
    </row>
    <row r="51" spans="1:12" ht="12.75">
      <c r="A51" s="78" t="s">
        <v>244</v>
      </c>
      <c r="B51" s="80" t="s">
        <v>245</v>
      </c>
      <c r="C51" s="216" t="s">
        <v>246</v>
      </c>
      <c r="D51" s="216"/>
      <c r="E51" s="80"/>
      <c r="F51" s="81" t="s">
        <v>23</v>
      </c>
      <c r="G51" s="81">
        <v>550</v>
      </c>
      <c r="H51" s="87">
        <f>550</f>
        <v>550</v>
      </c>
      <c r="I51" s="88">
        <f t="shared" si="0"/>
        <v>0</v>
      </c>
      <c r="J51" s="81">
        <v>3.5</v>
      </c>
      <c r="K51" s="90">
        <f t="shared" si="1"/>
        <v>4.41</v>
      </c>
      <c r="L51" s="89">
        <f t="shared" si="2"/>
        <v>2425.5</v>
      </c>
    </row>
    <row r="52" spans="1:12" ht="12.75">
      <c r="A52" s="78" t="s">
        <v>247</v>
      </c>
      <c r="B52" s="80" t="s">
        <v>248</v>
      </c>
      <c r="C52" s="216" t="s">
        <v>249</v>
      </c>
      <c r="D52" s="216"/>
      <c r="E52" s="80"/>
      <c r="F52" s="81" t="s">
        <v>23</v>
      </c>
      <c r="G52" s="81">
        <v>550</v>
      </c>
      <c r="H52" s="87">
        <f>550</f>
        <v>550</v>
      </c>
      <c r="I52" s="88">
        <f t="shared" si="0"/>
        <v>0</v>
      </c>
      <c r="J52" s="81">
        <v>3</v>
      </c>
      <c r="K52" s="90">
        <f t="shared" si="1"/>
        <v>3.7800000000000002</v>
      </c>
      <c r="L52" s="89">
        <f t="shared" si="2"/>
        <v>2079</v>
      </c>
    </row>
    <row r="53" spans="1:12" ht="12.75">
      <c r="A53" s="78" t="s">
        <v>250</v>
      </c>
      <c r="B53" s="80" t="s">
        <v>251</v>
      </c>
      <c r="C53" s="216" t="s">
        <v>252</v>
      </c>
      <c r="D53" s="216"/>
      <c r="E53" s="80"/>
      <c r="F53" s="81" t="s">
        <v>23</v>
      </c>
      <c r="G53" s="81">
        <v>300</v>
      </c>
      <c r="H53" s="87">
        <f>300</f>
        <v>300</v>
      </c>
      <c r="I53" s="88">
        <f t="shared" si="0"/>
        <v>0</v>
      </c>
      <c r="J53" s="81">
        <v>3.5</v>
      </c>
      <c r="K53" s="90">
        <f t="shared" si="1"/>
        <v>4.41</v>
      </c>
      <c r="L53" s="89">
        <f t="shared" si="2"/>
        <v>1323</v>
      </c>
    </row>
    <row r="54" spans="1:12" ht="12.75">
      <c r="A54" s="78" t="s">
        <v>253</v>
      </c>
      <c r="B54" s="80" t="s">
        <v>254</v>
      </c>
      <c r="C54" s="216" t="s">
        <v>255</v>
      </c>
      <c r="D54" s="216"/>
      <c r="E54" s="80"/>
      <c r="F54" s="81" t="s">
        <v>164</v>
      </c>
      <c r="G54" s="81">
        <v>2</v>
      </c>
      <c r="H54" s="87">
        <f>2</f>
        <v>2</v>
      </c>
      <c r="I54" s="88">
        <f t="shared" si="0"/>
        <v>0</v>
      </c>
      <c r="J54" s="81">
        <v>60</v>
      </c>
      <c r="K54" s="90">
        <f t="shared" si="1"/>
        <v>75.6</v>
      </c>
      <c r="L54" s="89">
        <f t="shared" si="2"/>
        <v>151.2</v>
      </c>
    </row>
    <row r="55" spans="1:12" ht="12.75">
      <c r="A55" s="78" t="s">
        <v>256</v>
      </c>
      <c r="B55" s="80" t="s">
        <v>257</v>
      </c>
      <c r="C55" s="216" t="s">
        <v>258</v>
      </c>
      <c r="D55" s="216"/>
      <c r="E55" s="80"/>
      <c r="F55" s="81" t="s">
        <v>164</v>
      </c>
      <c r="G55" s="81">
        <v>6</v>
      </c>
      <c r="H55" s="87">
        <f>6</f>
        <v>6</v>
      </c>
      <c r="I55" s="88">
        <f t="shared" si="0"/>
        <v>0</v>
      </c>
      <c r="J55" s="81">
        <v>29.8</v>
      </c>
      <c r="K55" s="90">
        <f t="shared" si="1"/>
        <v>37.548</v>
      </c>
      <c r="L55" s="89">
        <f t="shared" si="2"/>
        <v>225.288</v>
      </c>
    </row>
    <row r="56" spans="1:12" ht="12.75">
      <c r="A56" s="78" t="s">
        <v>259</v>
      </c>
      <c r="B56" s="80" t="s">
        <v>260</v>
      </c>
      <c r="C56" s="216" t="s">
        <v>261</v>
      </c>
      <c r="D56" s="216"/>
      <c r="E56" s="80"/>
      <c r="F56" s="81" t="s">
        <v>164</v>
      </c>
      <c r="G56" s="81">
        <v>1</v>
      </c>
      <c r="H56" s="87">
        <f>1</f>
        <v>1</v>
      </c>
      <c r="I56" s="88">
        <f t="shared" si="0"/>
        <v>0</v>
      </c>
      <c r="J56" s="81">
        <v>29.8</v>
      </c>
      <c r="K56" s="90">
        <f t="shared" si="1"/>
        <v>37.548</v>
      </c>
      <c r="L56" s="89">
        <f t="shared" si="2"/>
        <v>37.548</v>
      </c>
    </row>
    <row r="57" spans="1:12" ht="12.75">
      <c r="A57" s="78" t="s">
        <v>262</v>
      </c>
      <c r="B57" s="80" t="s">
        <v>263</v>
      </c>
      <c r="C57" s="216" t="s">
        <v>264</v>
      </c>
      <c r="D57" s="216"/>
      <c r="E57" s="80"/>
      <c r="F57" s="81" t="s">
        <v>164</v>
      </c>
      <c r="G57" s="81">
        <v>2</v>
      </c>
      <c r="H57" s="87">
        <f>2</f>
        <v>2</v>
      </c>
      <c r="I57" s="88">
        <f t="shared" si="0"/>
        <v>0</v>
      </c>
      <c r="J57" s="81">
        <v>15</v>
      </c>
      <c r="K57" s="90">
        <f t="shared" si="1"/>
        <v>18.9</v>
      </c>
      <c r="L57" s="89">
        <f t="shared" si="2"/>
        <v>37.8</v>
      </c>
    </row>
    <row r="58" spans="1:12" ht="12.75">
      <c r="A58" s="78" t="s">
        <v>265</v>
      </c>
      <c r="B58" s="80" t="s">
        <v>266</v>
      </c>
      <c r="C58" s="216" t="s">
        <v>267</v>
      </c>
      <c r="D58" s="216"/>
      <c r="E58" s="80"/>
      <c r="F58" s="81" t="s">
        <v>164</v>
      </c>
      <c r="G58" s="81">
        <v>6</v>
      </c>
      <c r="H58" s="87">
        <f>6</f>
        <v>6</v>
      </c>
      <c r="I58" s="88">
        <f t="shared" si="0"/>
        <v>0</v>
      </c>
      <c r="J58" s="81">
        <v>56.69</v>
      </c>
      <c r="K58" s="90">
        <f t="shared" si="1"/>
        <v>71.4294</v>
      </c>
      <c r="L58" s="89">
        <f t="shared" si="2"/>
        <v>428.57640000000004</v>
      </c>
    </row>
    <row r="59" spans="1:12" ht="12.75">
      <c r="A59" s="78" t="s">
        <v>268</v>
      </c>
      <c r="B59" s="80" t="s">
        <v>269</v>
      </c>
      <c r="C59" s="216" t="s">
        <v>270</v>
      </c>
      <c r="D59" s="216"/>
      <c r="E59" s="80"/>
      <c r="F59" s="81" t="s">
        <v>164</v>
      </c>
      <c r="G59" s="81">
        <v>10</v>
      </c>
      <c r="H59" s="87">
        <f>10</f>
        <v>10</v>
      </c>
      <c r="I59" s="88">
        <f t="shared" si="0"/>
        <v>0</v>
      </c>
      <c r="J59" s="81">
        <v>6</v>
      </c>
      <c r="K59" s="90">
        <f t="shared" si="1"/>
        <v>7.5600000000000005</v>
      </c>
      <c r="L59" s="89">
        <f t="shared" si="2"/>
        <v>75.60000000000001</v>
      </c>
    </row>
    <row r="60" spans="1:12" ht="12.75">
      <c r="A60" s="78" t="s">
        <v>271</v>
      </c>
      <c r="B60" s="80" t="s">
        <v>272</v>
      </c>
      <c r="C60" s="216" t="s">
        <v>273</v>
      </c>
      <c r="D60" s="216"/>
      <c r="E60" s="80"/>
      <c r="F60" s="81" t="s">
        <v>164</v>
      </c>
      <c r="G60" s="81">
        <v>8</v>
      </c>
      <c r="H60" s="87">
        <f>8</f>
        <v>8</v>
      </c>
      <c r="I60" s="88">
        <f t="shared" si="0"/>
        <v>0</v>
      </c>
      <c r="J60" s="81">
        <v>6.1</v>
      </c>
      <c r="K60" s="90">
        <f t="shared" si="1"/>
        <v>7.686</v>
      </c>
      <c r="L60" s="89">
        <f t="shared" si="2"/>
        <v>61.488</v>
      </c>
    </row>
    <row r="61" spans="1:12" ht="12.75">
      <c r="A61" s="78" t="s">
        <v>274</v>
      </c>
      <c r="B61" s="80" t="s">
        <v>275</v>
      </c>
      <c r="C61" s="216" t="s">
        <v>276</v>
      </c>
      <c r="D61" s="216"/>
      <c r="E61" s="80"/>
      <c r="F61" s="81" t="s">
        <v>164</v>
      </c>
      <c r="G61" s="81">
        <v>26</v>
      </c>
      <c r="H61" s="87">
        <f>26</f>
        <v>26</v>
      </c>
      <c r="I61" s="88">
        <f t="shared" si="0"/>
        <v>0</v>
      </c>
      <c r="J61" s="81">
        <v>11.45</v>
      </c>
      <c r="K61" s="90">
        <f t="shared" si="1"/>
        <v>14.427</v>
      </c>
      <c r="L61" s="89">
        <f t="shared" si="2"/>
        <v>375.102</v>
      </c>
    </row>
    <row r="62" spans="1:12" ht="12.75">
      <c r="A62" s="78" t="s">
        <v>277</v>
      </c>
      <c r="B62" s="80" t="s">
        <v>138</v>
      </c>
      <c r="C62" s="216" t="s">
        <v>278</v>
      </c>
      <c r="D62" s="216"/>
      <c r="E62" s="80"/>
      <c r="F62" s="81" t="s">
        <v>164</v>
      </c>
      <c r="G62" s="81">
        <v>6</v>
      </c>
      <c r="H62" s="87">
        <f>6</f>
        <v>6</v>
      </c>
      <c r="I62" s="88">
        <f t="shared" si="0"/>
        <v>0</v>
      </c>
      <c r="J62" s="81">
        <v>40.9</v>
      </c>
      <c r="K62" s="90">
        <f t="shared" si="1"/>
        <v>51.534</v>
      </c>
      <c r="L62" s="89">
        <f t="shared" si="2"/>
        <v>309.204</v>
      </c>
    </row>
    <row r="63" spans="1:12" ht="30.75" customHeight="1">
      <c r="A63" s="78" t="s">
        <v>279</v>
      </c>
      <c r="B63" s="80" t="s">
        <v>280</v>
      </c>
      <c r="C63" s="219" t="s">
        <v>281</v>
      </c>
      <c r="D63" s="219"/>
      <c r="E63" s="80"/>
      <c r="F63" s="81" t="s">
        <v>164</v>
      </c>
      <c r="G63" s="81">
        <v>26</v>
      </c>
      <c r="H63" s="87"/>
      <c r="I63" s="88">
        <f t="shared" si="0"/>
        <v>26</v>
      </c>
      <c r="J63" s="81">
        <v>1389.11</v>
      </c>
      <c r="K63" s="90">
        <f t="shared" si="1"/>
        <v>1750.2785999999999</v>
      </c>
      <c r="L63" s="89">
        <f t="shared" si="2"/>
        <v>45507.243599999994</v>
      </c>
    </row>
    <row r="64" spans="1:12" ht="12.75">
      <c r="A64" s="80"/>
      <c r="B64" s="80"/>
      <c r="C64" s="216"/>
      <c r="D64" s="216"/>
      <c r="E64" s="80"/>
      <c r="F64" s="81"/>
      <c r="G64" s="81"/>
      <c r="H64" s="87"/>
      <c r="I64" s="88">
        <f t="shared" si="0"/>
        <v>0</v>
      </c>
      <c r="J64" s="81"/>
      <c r="K64" s="90"/>
      <c r="L64" s="89"/>
    </row>
    <row r="65" spans="1:12" ht="12.75">
      <c r="A65" s="81">
        <v>6</v>
      </c>
      <c r="B65" s="80"/>
      <c r="C65" s="216" t="s">
        <v>282</v>
      </c>
      <c r="D65" s="216"/>
      <c r="E65" s="80"/>
      <c r="F65" s="81"/>
      <c r="G65" s="81"/>
      <c r="H65" s="87"/>
      <c r="I65" s="88">
        <f t="shared" si="0"/>
        <v>0</v>
      </c>
      <c r="J65" s="81"/>
      <c r="K65" s="90"/>
      <c r="L65" s="89"/>
    </row>
    <row r="66" spans="1:12" ht="12.75">
      <c r="A66" s="78" t="s">
        <v>283</v>
      </c>
      <c r="B66" s="80"/>
      <c r="C66" s="216" t="s">
        <v>284</v>
      </c>
      <c r="D66" s="216"/>
      <c r="E66" s="80"/>
      <c r="F66" s="81"/>
      <c r="G66" s="81"/>
      <c r="H66" s="87"/>
      <c r="I66" s="88">
        <f t="shared" si="0"/>
        <v>0</v>
      </c>
      <c r="J66" s="81"/>
      <c r="K66" s="90"/>
      <c r="L66" s="89"/>
    </row>
    <row r="67" spans="1:12" ht="30" customHeight="1">
      <c r="A67" s="78" t="s">
        <v>285</v>
      </c>
      <c r="B67" s="80" t="s">
        <v>85</v>
      </c>
      <c r="C67" s="219" t="s">
        <v>286</v>
      </c>
      <c r="D67" s="219"/>
      <c r="E67" s="80"/>
      <c r="F67" s="81" t="s">
        <v>160</v>
      </c>
      <c r="G67" s="91">
        <v>1099.76</v>
      </c>
      <c r="H67" s="92">
        <f>934.8+164.96</f>
        <v>1099.76</v>
      </c>
      <c r="I67" s="88">
        <f t="shared" si="0"/>
        <v>0</v>
      </c>
      <c r="J67" s="81">
        <v>37.25</v>
      </c>
      <c r="K67" s="90">
        <f t="shared" si="1"/>
        <v>46.935</v>
      </c>
      <c r="L67" s="89">
        <f t="shared" si="2"/>
        <v>51617.2356</v>
      </c>
    </row>
    <row r="68" spans="1:12" ht="30.75" customHeight="1">
      <c r="A68" s="78" t="s">
        <v>287</v>
      </c>
      <c r="B68" s="80" t="s">
        <v>288</v>
      </c>
      <c r="C68" s="219" t="s">
        <v>289</v>
      </c>
      <c r="D68" s="219"/>
      <c r="E68" s="80"/>
      <c r="F68" s="81" t="s">
        <v>160</v>
      </c>
      <c r="G68" s="81">
        <v>999.18</v>
      </c>
      <c r="H68" s="87">
        <f>505.27</f>
        <v>505.27</v>
      </c>
      <c r="I68" s="88">
        <f t="shared" si="0"/>
        <v>493.90999999999997</v>
      </c>
      <c r="J68" s="81">
        <v>58.15</v>
      </c>
      <c r="K68" s="90">
        <f t="shared" si="1"/>
        <v>73.269</v>
      </c>
      <c r="L68" s="89">
        <f t="shared" si="2"/>
        <v>73208.91942</v>
      </c>
    </row>
    <row r="69" spans="1:12" ht="12.75">
      <c r="A69" s="80"/>
      <c r="B69" s="80"/>
      <c r="C69" s="217"/>
      <c r="D69" s="217"/>
      <c r="E69" s="80"/>
      <c r="F69" s="81"/>
      <c r="G69" s="81"/>
      <c r="H69" s="87">
        <f>H68-494.22</f>
        <v>11.049999999999955</v>
      </c>
      <c r="I69" s="88">
        <f t="shared" si="0"/>
        <v>-11.049999999999955</v>
      </c>
      <c r="J69" s="81"/>
      <c r="K69" s="90"/>
      <c r="L69" s="89"/>
    </row>
    <row r="70" spans="1:12" ht="12.75">
      <c r="A70" s="81">
        <v>7</v>
      </c>
      <c r="B70" s="80"/>
      <c r="C70" s="216" t="s">
        <v>90</v>
      </c>
      <c r="D70" s="216"/>
      <c r="E70" s="80"/>
      <c r="F70" s="81"/>
      <c r="G70" s="81"/>
      <c r="H70" s="87"/>
      <c r="I70" s="88">
        <f t="shared" si="0"/>
        <v>0</v>
      </c>
      <c r="J70" s="81"/>
      <c r="K70" s="90"/>
      <c r="L70" s="89"/>
    </row>
    <row r="71" spans="1:12" ht="12.75">
      <c r="A71" s="78" t="s">
        <v>290</v>
      </c>
      <c r="B71" s="80"/>
      <c r="C71" s="216" t="s">
        <v>291</v>
      </c>
      <c r="D71" s="216"/>
      <c r="E71" s="80"/>
      <c r="F71" s="81"/>
      <c r="G71" s="81"/>
      <c r="H71" s="87"/>
      <c r="I71" s="88">
        <f t="shared" si="0"/>
        <v>0</v>
      </c>
      <c r="J71" s="81"/>
      <c r="K71" s="90"/>
      <c r="L71" s="89"/>
    </row>
    <row r="72" spans="1:12" ht="12.75">
      <c r="A72" s="78" t="s">
        <v>292</v>
      </c>
      <c r="B72" s="80" t="s">
        <v>293</v>
      </c>
      <c r="C72" s="216" t="s">
        <v>294</v>
      </c>
      <c r="D72" s="216"/>
      <c r="E72" s="80"/>
      <c r="F72" s="81" t="s">
        <v>160</v>
      </c>
      <c r="G72" s="81">
        <v>196.37</v>
      </c>
      <c r="H72" s="87">
        <f>196.37</f>
        <v>196.37</v>
      </c>
      <c r="I72" s="88">
        <f t="shared" si="0"/>
        <v>0</v>
      </c>
      <c r="J72" s="81">
        <v>30.32</v>
      </c>
      <c r="K72" s="90">
        <f t="shared" si="1"/>
        <v>38.2032</v>
      </c>
      <c r="L72" s="89">
        <f t="shared" si="2"/>
        <v>7501.962384</v>
      </c>
    </row>
    <row r="73" spans="1:12" ht="30.75" customHeight="1">
      <c r="A73" s="78" t="s">
        <v>295</v>
      </c>
      <c r="B73" s="80" t="s">
        <v>296</v>
      </c>
      <c r="C73" s="219" t="s">
        <v>297</v>
      </c>
      <c r="D73" s="219"/>
      <c r="E73" s="80"/>
      <c r="F73" s="81" t="s">
        <v>298</v>
      </c>
      <c r="G73" s="81">
        <v>14.55</v>
      </c>
      <c r="H73" s="87">
        <f>14.55</f>
        <v>14.55</v>
      </c>
      <c r="I73" s="88">
        <f t="shared" si="0"/>
        <v>0</v>
      </c>
      <c r="J73" s="81">
        <v>1130</v>
      </c>
      <c r="K73" s="90">
        <f t="shared" si="1"/>
        <v>1423.8</v>
      </c>
      <c r="L73" s="89">
        <f t="shared" si="2"/>
        <v>20716.29</v>
      </c>
    </row>
    <row r="74" spans="1:12" ht="12.75">
      <c r="A74" s="78" t="s">
        <v>299</v>
      </c>
      <c r="B74" s="80" t="s">
        <v>300</v>
      </c>
      <c r="C74" s="216" t="s">
        <v>301</v>
      </c>
      <c r="D74" s="216"/>
      <c r="E74" s="80"/>
      <c r="F74" s="81" t="s">
        <v>298</v>
      </c>
      <c r="G74" s="81">
        <v>766.52</v>
      </c>
      <c r="H74" s="87">
        <f>766.52</f>
        <v>766.52</v>
      </c>
      <c r="I74" s="88">
        <f t="shared" si="0"/>
        <v>0</v>
      </c>
      <c r="J74" s="81">
        <v>25</v>
      </c>
      <c r="K74" s="90">
        <f t="shared" si="1"/>
        <v>31.5</v>
      </c>
      <c r="L74" s="89">
        <f t="shared" si="2"/>
        <v>24145.38</v>
      </c>
    </row>
    <row r="75" spans="1:12" ht="12.75">
      <c r="A75" s="78" t="s">
        <v>302</v>
      </c>
      <c r="B75" s="80" t="s">
        <v>303</v>
      </c>
      <c r="C75" s="216" t="s">
        <v>304</v>
      </c>
      <c r="D75" s="216"/>
      <c r="E75" s="80"/>
      <c r="F75" s="81" t="s">
        <v>160</v>
      </c>
      <c r="G75" s="81">
        <v>232.74</v>
      </c>
      <c r="H75" s="87">
        <v>232.74</v>
      </c>
      <c r="I75" s="88">
        <f aca="true" t="shared" si="3" ref="I75:I81">G75-H75</f>
        <v>0</v>
      </c>
      <c r="J75" s="81">
        <v>3.59</v>
      </c>
      <c r="K75" s="90">
        <f aca="true" t="shared" si="4" ref="K75:K81">(J75*0.26)+J75</f>
        <v>4.5234</v>
      </c>
      <c r="L75" s="89">
        <f aca="true" t="shared" si="5" ref="L75:L81">G75*K75</f>
        <v>1052.776116</v>
      </c>
    </row>
    <row r="76" spans="1:12" ht="30.75" customHeight="1">
      <c r="A76" s="78" t="s">
        <v>305</v>
      </c>
      <c r="B76" s="80" t="s">
        <v>306</v>
      </c>
      <c r="C76" s="219" t="s">
        <v>307</v>
      </c>
      <c r="D76" s="219"/>
      <c r="E76" s="80"/>
      <c r="F76" s="81" t="s">
        <v>160</v>
      </c>
      <c r="G76" s="81">
        <v>232.74</v>
      </c>
      <c r="H76" s="87">
        <v>232.74</v>
      </c>
      <c r="I76" s="88">
        <f t="shared" si="3"/>
        <v>0</v>
      </c>
      <c r="J76" s="81">
        <v>21.12</v>
      </c>
      <c r="K76" s="90">
        <f t="shared" si="4"/>
        <v>26.6112</v>
      </c>
      <c r="L76" s="89">
        <f t="shared" si="5"/>
        <v>6193.490688</v>
      </c>
    </row>
    <row r="77" spans="1:12" ht="12.75">
      <c r="A77" s="78" t="s">
        <v>308</v>
      </c>
      <c r="B77" s="80" t="s">
        <v>91</v>
      </c>
      <c r="C77" s="220" t="s">
        <v>92</v>
      </c>
      <c r="D77" s="220"/>
      <c r="E77" s="80"/>
      <c r="F77" s="81" t="s">
        <v>160</v>
      </c>
      <c r="G77" s="81">
        <v>232.74</v>
      </c>
      <c r="H77" s="87">
        <f>232.74</f>
        <v>232.74</v>
      </c>
      <c r="I77" s="88">
        <f t="shared" si="3"/>
        <v>0</v>
      </c>
      <c r="J77" s="81">
        <v>3.3</v>
      </c>
      <c r="K77" s="90">
        <f t="shared" si="4"/>
        <v>4.1579999999999995</v>
      </c>
      <c r="L77" s="89">
        <f t="shared" si="5"/>
        <v>967.7329199999999</v>
      </c>
    </row>
    <row r="78" spans="1:12" ht="33" customHeight="1">
      <c r="A78" s="78" t="s">
        <v>309</v>
      </c>
      <c r="B78" s="80" t="s">
        <v>93</v>
      </c>
      <c r="C78" s="219" t="s">
        <v>310</v>
      </c>
      <c r="D78" s="219"/>
      <c r="E78" s="80"/>
      <c r="F78" s="81" t="s">
        <v>160</v>
      </c>
      <c r="G78" s="81">
        <v>232.74</v>
      </c>
      <c r="H78" s="87">
        <f>232.74</f>
        <v>232.74</v>
      </c>
      <c r="I78" s="88">
        <f t="shared" si="3"/>
        <v>0</v>
      </c>
      <c r="J78" s="81">
        <v>9.35</v>
      </c>
      <c r="K78" s="90">
        <f t="shared" si="4"/>
        <v>11.780999999999999</v>
      </c>
      <c r="L78" s="89">
        <f t="shared" si="5"/>
        <v>2741.90994</v>
      </c>
    </row>
    <row r="79" spans="1:12" ht="30.75" customHeight="1">
      <c r="A79" s="78" t="s">
        <v>311</v>
      </c>
      <c r="B79" s="80" t="s">
        <v>312</v>
      </c>
      <c r="C79" s="219" t="s">
        <v>313</v>
      </c>
      <c r="D79" s="219"/>
      <c r="E79" s="80"/>
      <c r="F79" s="81" t="s">
        <v>160</v>
      </c>
      <c r="G79" s="81">
        <v>564.37</v>
      </c>
      <c r="H79" s="87">
        <f>564.37</f>
        <v>564.37</v>
      </c>
      <c r="I79" s="88">
        <f t="shared" si="3"/>
        <v>0</v>
      </c>
      <c r="J79" s="81">
        <v>29.75</v>
      </c>
      <c r="K79" s="90">
        <f t="shared" si="4"/>
        <v>37.485</v>
      </c>
      <c r="L79" s="89">
        <f t="shared" si="5"/>
        <v>21155.40945</v>
      </c>
    </row>
    <row r="80" spans="1:12" ht="30" customHeight="1">
      <c r="A80" s="78" t="s">
        <v>314</v>
      </c>
      <c r="B80" s="80" t="s">
        <v>315</v>
      </c>
      <c r="C80" s="219" t="s">
        <v>316</v>
      </c>
      <c r="D80" s="219"/>
      <c r="E80" s="80"/>
      <c r="F80" s="81" t="s">
        <v>298</v>
      </c>
      <c r="G80" s="81">
        <v>6.2</v>
      </c>
      <c r="H80" s="87">
        <f>6.2</f>
        <v>6.2</v>
      </c>
      <c r="I80" s="88">
        <f t="shared" si="3"/>
        <v>0</v>
      </c>
      <c r="J80" s="81">
        <v>1771.35</v>
      </c>
      <c r="K80" s="90">
        <f t="shared" si="4"/>
        <v>2231.901</v>
      </c>
      <c r="L80" s="89">
        <f t="shared" si="5"/>
        <v>13837.786199999999</v>
      </c>
    </row>
    <row r="81" spans="1:12" ht="30" customHeight="1">
      <c r="A81" s="78" t="s">
        <v>317</v>
      </c>
      <c r="B81" s="80" t="s">
        <v>318</v>
      </c>
      <c r="C81" s="219" t="s">
        <v>319</v>
      </c>
      <c r="D81" s="219"/>
      <c r="E81" s="80"/>
      <c r="F81" s="81" t="s">
        <v>23</v>
      </c>
      <c r="G81" s="81">
        <v>139.66</v>
      </c>
      <c r="H81" s="87">
        <v>139.66</v>
      </c>
      <c r="I81" s="88">
        <f t="shared" si="3"/>
        <v>0</v>
      </c>
      <c r="J81" s="81">
        <v>273.15</v>
      </c>
      <c r="K81" s="90">
        <f t="shared" si="4"/>
        <v>344.169</v>
      </c>
      <c r="L81" s="89">
        <f t="shared" si="5"/>
        <v>48066.64253999999</v>
      </c>
    </row>
    <row r="82" spans="1:12" ht="12.75">
      <c r="A82" s="80"/>
      <c r="B82" s="80"/>
      <c r="C82" s="217"/>
      <c r="D82" s="217"/>
      <c r="E82" s="80"/>
      <c r="F82" s="80"/>
      <c r="G82" s="81"/>
      <c r="H82" s="87"/>
      <c r="I82" s="88"/>
      <c r="J82" s="81"/>
      <c r="K82" s="81"/>
      <c r="L82" s="89"/>
    </row>
    <row r="83" spans="1:12" ht="15">
      <c r="A83" s="218" t="s">
        <v>37</v>
      </c>
      <c r="B83" s="218"/>
      <c r="C83" s="218"/>
      <c r="D83" s="218"/>
      <c r="E83" s="218"/>
      <c r="F83" s="218"/>
      <c r="G83" s="218"/>
      <c r="H83" s="218"/>
      <c r="I83" s="218"/>
      <c r="J83" s="218"/>
      <c r="K83" s="218"/>
      <c r="L83" s="93">
        <v>415578.43</v>
      </c>
    </row>
    <row r="85" ht="12.75">
      <c r="L85">
        <v>308847.22</v>
      </c>
    </row>
    <row r="86" ht="12.75">
      <c r="L86" s="102">
        <f>L85/L83</f>
        <v>0.7431743269254855</v>
      </c>
    </row>
  </sheetData>
  <sheetProtection/>
  <mergeCells count="86">
    <mergeCell ref="A1:L1"/>
    <mergeCell ref="A2:F2"/>
    <mergeCell ref="G2:L2"/>
    <mergeCell ref="A3:F3"/>
    <mergeCell ref="G3:L3"/>
    <mergeCell ref="C7:E7"/>
    <mergeCell ref="C8:E8"/>
    <mergeCell ref="C9:E9"/>
    <mergeCell ref="C10:E10"/>
    <mergeCell ref="D4:L4"/>
    <mergeCell ref="D5:J6"/>
    <mergeCell ref="K5:L5"/>
    <mergeCell ref="K6:L6"/>
    <mergeCell ref="C15:D15"/>
    <mergeCell ref="C16:D16"/>
    <mergeCell ref="C17:D17"/>
    <mergeCell ref="C18:D18"/>
    <mergeCell ref="C11:E11"/>
    <mergeCell ref="C12:E12"/>
    <mergeCell ref="C13:E13"/>
    <mergeCell ref="C14:D14"/>
    <mergeCell ref="C23:D23"/>
    <mergeCell ref="C24:D24"/>
    <mergeCell ref="C25:D25"/>
    <mergeCell ref="C26:D26"/>
    <mergeCell ref="C19:D19"/>
    <mergeCell ref="C20:D20"/>
    <mergeCell ref="C21:D21"/>
    <mergeCell ref="C22:D22"/>
    <mergeCell ref="C31:D31"/>
    <mergeCell ref="C32:D32"/>
    <mergeCell ref="C33:D33"/>
    <mergeCell ref="C34:D34"/>
    <mergeCell ref="C27:D27"/>
    <mergeCell ref="C28:D28"/>
    <mergeCell ref="C29:D29"/>
    <mergeCell ref="C30:D30"/>
    <mergeCell ref="C39:D39"/>
    <mergeCell ref="C40:D40"/>
    <mergeCell ref="C41:D41"/>
    <mergeCell ref="C42:D42"/>
    <mergeCell ref="C35:D35"/>
    <mergeCell ref="C36:D36"/>
    <mergeCell ref="C37:D37"/>
    <mergeCell ref="C38:D38"/>
    <mergeCell ref="C47:D47"/>
    <mergeCell ref="C48:D48"/>
    <mergeCell ref="C49:D49"/>
    <mergeCell ref="C50:D50"/>
    <mergeCell ref="C43:D43"/>
    <mergeCell ref="C44:D44"/>
    <mergeCell ref="C45:D45"/>
    <mergeCell ref="C46:D46"/>
    <mergeCell ref="C55:D55"/>
    <mergeCell ref="C56:D56"/>
    <mergeCell ref="C57:D57"/>
    <mergeCell ref="C58:D58"/>
    <mergeCell ref="C51:D51"/>
    <mergeCell ref="C52:D52"/>
    <mergeCell ref="C53:D53"/>
    <mergeCell ref="C54:D54"/>
    <mergeCell ref="C63:D63"/>
    <mergeCell ref="C64:D64"/>
    <mergeCell ref="C65:D65"/>
    <mergeCell ref="C66:D66"/>
    <mergeCell ref="C59:D59"/>
    <mergeCell ref="C60:D60"/>
    <mergeCell ref="C61:D61"/>
    <mergeCell ref="C62:D62"/>
    <mergeCell ref="C71:D71"/>
    <mergeCell ref="C72:D72"/>
    <mergeCell ref="C73:D73"/>
    <mergeCell ref="C74:D74"/>
    <mergeCell ref="C67:D67"/>
    <mergeCell ref="C68:D68"/>
    <mergeCell ref="C69:D69"/>
    <mergeCell ref="C70:D70"/>
    <mergeCell ref="C75:D75"/>
    <mergeCell ref="C82:D82"/>
    <mergeCell ref="A83:K83"/>
    <mergeCell ref="C76:D76"/>
    <mergeCell ref="C77:D77"/>
    <mergeCell ref="C78:D78"/>
    <mergeCell ref="C79:D79"/>
    <mergeCell ref="C80:D80"/>
    <mergeCell ref="C81:D81"/>
  </mergeCells>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2060"/>
  </sheetPr>
  <dimension ref="A1:IV114"/>
  <sheetViews>
    <sheetView showGridLines="0" showZeros="0" view="pageBreakPreview" zoomScaleSheetLayoutView="100" zoomScalePageLayoutView="0" workbookViewId="0" topLeftCell="A1">
      <selection activeCell="C12" sqref="C12"/>
    </sheetView>
  </sheetViews>
  <sheetFormatPr defaultColWidth="9.140625" defaultRowHeight="12.75"/>
  <cols>
    <col min="1" max="1" width="5.421875" style="0" bestFit="1" customWidth="1"/>
    <col min="2" max="2" width="10.7109375" style="0" bestFit="1" customWidth="1"/>
    <col min="3" max="3" width="48.00390625" style="139" customWidth="1"/>
    <col min="5" max="5" width="13.00390625" style="0" customWidth="1"/>
    <col min="6" max="8" width="12.28125" style="0" customWidth="1"/>
    <col min="9" max="9" width="0" style="0" hidden="1" customWidth="1"/>
    <col min="10" max="10" width="13.140625" style="0" hidden="1" customWidth="1"/>
    <col min="11" max="11" width="11.7109375" style="0" bestFit="1" customWidth="1"/>
    <col min="12" max="12" width="11.8515625" style="0" customWidth="1"/>
  </cols>
  <sheetData>
    <row r="1" spans="1:8" ht="69.75" customHeight="1">
      <c r="A1" s="233"/>
      <c r="B1" s="234"/>
      <c r="C1" s="235"/>
      <c r="D1" s="235"/>
      <c r="E1" s="235"/>
      <c r="F1" s="235"/>
      <c r="G1" s="235"/>
      <c r="H1" s="236"/>
    </row>
    <row r="2" spans="1:8" ht="3.75" customHeight="1" thickBot="1">
      <c r="A2" s="237"/>
      <c r="B2" s="189"/>
      <c r="C2" s="189"/>
      <c r="D2" s="189"/>
      <c r="E2" s="189"/>
      <c r="F2" s="189"/>
      <c r="G2" s="189"/>
      <c r="H2" s="238"/>
    </row>
    <row r="3" spans="1:8" ht="17.25" customHeight="1" thickBot="1">
      <c r="A3" s="210" t="s">
        <v>4</v>
      </c>
      <c r="B3" s="211"/>
      <c r="C3" s="211"/>
      <c r="D3" s="211"/>
      <c r="E3" s="211"/>
      <c r="F3" s="211"/>
      <c r="G3" s="211"/>
      <c r="H3" s="212"/>
    </row>
    <row r="4" spans="1:8" ht="3.75" customHeight="1" thickBot="1">
      <c r="A4" s="134"/>
      <c r="B4" s="11"/>
      <c r="C4" s="11"/>
      <c r="D4" s="11"/>
      <c r="E4" s="11"/>
      <c r="F4" s="11"/>
      <c r="G4" s="11"/>
      <c r="H4" s="135"/>
    </row>
    <row r="5" spans="1:15" ht="26.25" customHeight="1">
      <c r="A5" s="241" t="s">
        <v>463</v>
      </c>
      <c r="B5" s="242"/>
      <c r="C5" s="242"/>
      <c r="D5" s="243"/>
      <c r="E5" s="199" t="s">
        <v>571</v>
      </c>
      <c r="F5" s="239"/>
      <c r="G5" s="239"/>
      <c r="H5" s="240"/>
      <c r="N5">
        <v>2</v>
      </c>
      <c r="O5">
        <v>3</v>
      </c>
    </row>
    <row r="6" spans="1:15" ht="27" customHeight="1">
      <c r="A6" s="180" t="s">
        <v>578</v>
      </c>
      <c r="B6" s="181"/>
      <c r="C6" s="181"/>
      <c r="D6" s="182"/>
      <c r="E6" s="207" t="s">
        <v>12</v>
      </c>
      <c r="F6" s="208"/>
      <c r="G6" s="208"/>
      <c r="H6" s="209"/>
      <c r="N6">
        <v>2</v>
      </c>
      <c r="O6">
        <v>5</v>
      </c>
    </row>
    <row r="7" spans="1:15" ht="27" customHeight="1">
      <c r="A7" s="180" t="s">
        <v>572</v>
      </c>
      <c r="B7" s="181"/>
      <c r="C7" s="181"/>
      <c r="D7" s="182"/>
      <c r="E7" s="196" t="s">
        <v>8</v>
      </c>
      <c r="F7" s="194" t="s">
        <v>6</v>
      </c>
      <c r="G7" s="10" t="s">
        <v>26</v>
      </c>
      <c r="H7" s="7" t="s">
        <v>7</v>
      </c>
      <c r="N7">
        <v>4</v>
      </c>
      <c r="O7">
        <v>4</v>
      </c>
    </row>
    <row r="8" spans="1:15" ht="17.25" customHeight="1" thickBot="1">
      <c r="A8" s="183" t="s">
        <v>573</v>
      </c>
      <c r="B8" s="184"/>
      <c r="C8" s="184"/>
      <c r="D8" s="185"/>
      <c r="E8" s="197"/>
      <c r="F8" s="195"/>
      <c r="G8" s="12" t="s">
        <v>334</v>
      </c>
      <c r="H8" s="43">
        <v>0.2247</v>
      </c>
      <c r="N8">
        <v>10</v>
      </c>
      <c r="O8">
        <v>10</v>
      </c>
    </row>
    <row r="9" spans="1:8" ht="3.75" customHeight="1" thickBot="1">
      <c r="A9" s="226"/>
      <c r="B9" s="188"/>
      <c r="C9" s="188"/>
      <c r="D9" s="188"/>
      <c r="E9" s="188"/>
      <c r="F9" s="188"/>
      <c r="G9" s="188"/>
      <c r="H9" s="227"/>
    </row>
    <row r="10" spans="1:15" ht="42" customHeight="1" thickBot="1">
      <c r="A10" s="2" t="s">
        <v>0</v>
      </c>
      <c r="B10" s="3" t="s">
        <v>5</v>
      </c>
      <c r="C10" s="3" t="s">
        <v>1</v>
      </c>
      <c r="D10" s="3" t="s">
        <v>3</v>
      </c>
      <c r="E10" s="3" t="s">
        <v>2</v>
      </c>
      <c r="F10" s="4" t="s">
        <v>336</v>
      </c>
      <c r="G10" s="4" t="s">
        <v>337</v>
      </c>
      <c r="H10" s="5" t="s">
        <v>10</v>
      </c>
      <c r="N10">
        <f>N5*N6*N7*N8</f>
        <v>160</v>
      </c>
      <c r="O10">
        <f>O5*O6*O7*O8</f>
        <v>600</v>
      </c>
    </row>
    <row r="11" spans="1:11" s="25" customFormat="1" ht="16.5" customHeight="1">
      <c r="A11" s="146">
        <v>1</v>
      </c>
      <c r="B11" s="155"/>
      <c r="C11" s="156" t="s">
        <v>339</v>
      </c>
      <c r="D11" s="157"/>
      <c r="E11" s="158"/>
      <c r="F11" s="158"/>
      <c r="G11" s="151" t="s">
        <v>420</v>
      </c>
      <c r="H11" s="153">
        <f>SUM(H12:H15)</f>
        <v>3603.0238000000004</v>
      </c>
      <c r="K11" s="141"/>
    </row>
    <row r="12" spans="1:11" s="144" customFormat="1" ht="78.75">
      <c r="A12" s="277" t="s">
        <v>16</v>
      </c>
      <c r="B12" s="278" t="s">
        <v>423</v>
      </c>
      <c r="C12" s="279" t="s">
        <v>422</v>
      </c>
      <c r="D12" s="280" t="s">
        <v>338</v>
      </c>
      <c r="E12" s="281">
        <v>1</v>
      </c>
      <c r="F12" s="281">
        <v>1249.24</v>
      </c>
      <c r="G12" s="282">
        <v>1529.94</v>
      </c>
      <c r="H12" s="283">
        <f>G12*E12</f>
        <v>1529.94</v>
      </c>
      <c r="K12" s="145">
        <f>F12*1.2247</f>
        <v>1529.9442279999998</v>
      </c>
    </row>
    <row r="13" spans="1:11" s="118" customFormat="1" ht="22.5">
      <c r="A13" s="277" t="s">
        <v>18</v>
      </c>
      <c r="B13" s="284" t="s">
        <v>504</v>
      </c>
      <c r="C13" s="285" t="s">
        <v>503</v>
      </c>
      <c r="D13" s="286" t="s">
        <v>160</v>
      </c>
      <c r="E13" s="282">
        <v>150.18</v>
      </c>
      <c r="F13" s="282">
        <v>2.77</v>
      </c>
      <c r="G13" s="282">
        <v>3.39</v>
      </c>
      <c r="H13" s="283">
        <f>E13*G13</f>
        <v>509.1102</v>
      </c>
      <c r="K13" s="140">
        <f>F13*1.2247</f>
        <v>3.392419</v>
      </c>
    </row>
    <row r="14" spans="1:11" s="118" customFormat="1" ht="15" customHeight="1">
      <c r="A14" s="277" t="s">
        <v>513</v>
      </c>
      <c r="B14" s="284" t="s">
        <v>340</v>
      </c>
      <c r="C14" s="285" t="s">
        <v>341</v>
      </c>
      <c r="D14" s="286" t="s">
        <v>160</v>
      </c>
      <c r="E14" s="282">
        <v>59.34</v>
      </c>
      <c r="F14" s="282">
        <v>8.94</v>
      </c>
      <c r="G14" s="282">
        <v>10.95</v>
      </c>
      <c r="H14" s="283">
        <f aca="true" t="shared" si="0" ref="H14:H26">E14*G14</f>
        <v>649.773</v>
      </c>
      <c r="K14" s="140">
        <f>F14*1.2247</f>
        <v>10.948818</v>
      </c>
    </row>
    <row r="15" spans="1:11" s="118" customFormat="1" ht="33.75">
      <c r="A15" s="277" t="s">
        <v>514</v>
      </c>
      <c r="B15" s="284" t="s">
        <v>507</v>
      </c>
      <c r="C15" s="285" t="s">
        <v>506</v>
      </c>
      <c r="D15" s="286" t="s">
        <v>160</v>
      </c>
      <c r="E15" s="282">
        <v>45.46</v>
      </c>
      <c r="F15" s="282">
        <v>16.42</v>
      </c>
      <c r="G15" s="282">
        <v>20.11</v>
      </c>
      <c r="H15" s="283">
        <f>E15*G15</f>
        <v>914.2006</v>
      </c>
      <c r="K15" s="140">
        <f>F15*1.2247</f>
        <v>20.109574000000002</v>
      </c>
    </row>
    <row r="16" spans="1:11" s="25" customFormat="1" ht="16.5" customHeight="1">
      <c r="A16" s="146">
        <v>2</v>
      </c>
      <c r="B16" s="147"/>
      <c r="C16" s="148" t="s">
        <v>568</v>
      </c>
      <c r="D16" s="149"/>
      <c r="E16" s="150"/>
      <c r="F16" s="150"/>
      <c r="G16" s="151" t="s">
        <v>420</v>
      </c>
      <c r="H16" s="153">
        <f>SUM(H17:H28)</f>
        <v>41487.121100000004</v>
      </c>
      <c r="K16" s="141"/>
    </row>
    <row r="17" spans="1:256" s="118" customFormat="1" ht="12.75">
      <c r="A17" s="277" t="s">
        <v>19</v>
      </c>
      <c r="B17" s="284" t="s">
        <v>418</v>
      </c>
      <c r="C17" s="285" t="s">
        <v>419</v>
      </c>
      <c r="D17" s="286" t="s">
        <v>298</v>
      </c>
      <c r="E17" s="282">
        <v>9.17</v>
      </c>
      <c r="F17" s="282">
        <v>53.41</v>
      </c>
      <c r="G17" s="282">
        <v>65.41</v>
      </c>
      <c r="H17" s="283">
        <f t="shared" si="0"/>
        <v>599.8097</v>
      </c>
      <c r="K17" s="140">
        <f aca="true" t="shared" si="1" ref="K17:K39">F17*1.2247</f>
        <v>65.411227</v>
      </c>
      <c r="IV17" s="159">
        <f>SUM(E17:IU17)</f>
        <v>793.2109270000001</v>
      </c>
    </row>
    <row r="18" spans="1:256" s="118" customFormat="1" ht="12.75">
      <c r="A18" s="277" t="s">
        <v>20</v>
      </c>
      <c r="B18" s="284" t="s">
        <v>466</v>
      </c>
      <c r="C18" s="285" t="s">
        <v>465</v>
      </c>
      <c r="D18" s="286" t="s">
        <v>160</v>
      </c>
      <c r="E18" s="282">
        <v>6.49</v>
      </c>
      <c r="F18" s="282">
        <v>20.72</v>
      </c>
      <c r="G18" s="282">
        <v>25.38</v>
      </c>
      <c r="H18" s="283">
        <f>E18*G18</f>
        <v>164.7162</v>
      </c>
      <c r="K18" s="140">
        <f>F18*1.2247</f>
        <v>25.375783999999996</v>
      </c>
      <c r="IV18" s="159">
        <f>SUM(E18:IU18)</f>
        <v>242.681984</v>
      </c>
    </row>
    <row r="19" spans="1:11" s="118" customFormat="1" ht="25.5" customHeight="1">
      <c r="A19" s="277" t="s">
        <v>21</v>
      </c>
      <c r="B19" s="284" t="s">
        <v>416</v>
      </c>
      <c r="C19" s="285" t="s">
        <v>415</v>
      </c>
      <c r="D19" s="286" t="s">
        <v>298</v>
      </c>
      <c r="E19" s="282">
        <v>0.72</v>
      </c>
      <c r="F19" s="282">
        <v>405.39</v>
      </c>
      <c r="G19" s="282">
        <v>496.48</v>
      </c>
      <c r="H19" s="283">
        <f t="shared" si="0"/>
        <v>357.4656</v>
      </c>
      <c r="K19" s="140">
        <f t="shared" si="1"/>
        <v>496.48113299999994</v>
      </c>
    </row>
    <row r="20" spans="1:11" s="118" customFormat="1" ht="22.5" customHeight="1">
      <c r="A20" s="277" t="s">
        <v>515</v>
      </c>
      <c r="B20" s="284" t="s">
        <v>412</v>
      </c>
      <c r="C20" s="285" t="s">
        <v>411</v>
      </c>
      <c r="D20" s="286" t="s">
        <v>342</v>
      </c>
      <c r="E20" s="282">
        <v>228.1</v>
      </c>
      <c r="F20" s="282">
        <v>15.37</v>
      </c>
      <c r="G20" s="282">
        <v>18.82</v>
      </c>
      <c r="H20" s="283">
        <f t="shared" si="0"/>
        <v>4292.842</v>
      </c>
      <c r="K20" s="140">
        <f t="shared" si="1"/>
        <v>18.823638999999996</v>
      </c>
    </row>
    <row r="21" spans="1:11" s="118" customFormat="1" ht="22.5">
      <c r="A21" s="277" t="s">
        <v>516</v>
      </c>
      <c r="B21" s="284" t="s">
        <v>414</v>
      </c>
      <c r="C21" s="285" t="s">
        <v>413</v>
      </c>
      <c r="D21" s="286" t="s">
        <v>342</v>
      </c>
      <c r="E21" s="282">
        <v>404.3</v>
      </c>
      <c r="F21" s="282">
        <v>13.71</v>
      </c>
      <c r="G21" s="282">
        <v>16.79</v>
      </c>
      <c r="H21" s="283">
        <f t="shared" si="0"/>
        <v>6788.197</v>
      </c>
      <c r="K21" s="140">
        <f t="shared" si="1"/>
        <v>16.790637</v>
      </c>
    </row>
    <row r="22" spans="1:11" s="118" customFormat="1" ht="34.5" customHeight="1">
      <c r="A22" s="277" t="s">
        <v>517</v>
      </c>
      <c r="B22" s="284" t="s">
        <v>468</v>
      </c>
      <c r="C22" s="285" t="s">
        <v>467</v>
      </c>
      <c r="D22" s="286" t="s">
        <v>343</v>
      </c>
      <c r="E22" s="282">
        <v>9.54</v>
      </c>
      <c r="F22" s="282">
        <v>622.25</v>
      </c>
      <c r="G22" s="282">
        <v>762.07</v>
      </c>
      <c r="H22" s="283">
        <f t="shared" si="0"/>
        <v>7270.1478</v>
      </c>
      <c r="K22" s="140">
        <f t="shared" si="1"/>
        <v>762.069575</v>
      </c>
    </row>
    <row r="23" spans="1:11" s="118" customFormat="1" ht="22.5">
      <c r="A23" s="277" t="s">
        <v>518</v>
      </c>
      <c r="B23" s="284" t="s">
        <v>469</v>
      </c>
      <c r="C23" s="285" t="s">
        <v>495</v>
      </c>
      <c r="D23" s="286" t="s">
        <v>343</v>
      </c>
      <c r="E23" s="282">
        <v>74.26</v>
      </c>
      <c r="F23" s="282">
        <v>61.82</v>
      </c>
      <c r="G23" s="282">
        <v>75.71</v>
      </c>
      <c r="H23" s="283">
        <f>E23*G23</f>
        <v>5622.2246</v>
      </c>
      <c r="K23" s="140">
        <f>F23*1.2247</f>
        <v>75.710954</v>
      </c>
    </row>
    <row r="24" spans="1:11" s="118" customFormat="1" ht="33.75">
      <c r="A24" s="277" t="s">
        <v>519</v>
      </c>
      <c r="B24" s="284" t="s">
        <v>473</v>
      </c>
      <c r="C24" s="285" t="s">
        <v>472</v>
      </c>
      <c r="D24" s="280" t="s">
        <v>474</v>
      </c>
      <c r="E24" s="282">
        <v>19</v>
      </c>
      <c r="F24" s="282">
        <v>12.93</v>
      </c>
      <c r="G24" s="282">
        <v>15.84</v>
      </c>
      <c r="H24" s="283">
        <f>E24*G24</f>
        <v>300.96</v>
      </c>
      <c r="K24" s="140">
        <f>F24*1.2247</f>
        <v>15.835370999999999</v>
      </c>
    </row>
    <row r="25" spans="1:11" s="118" customFormat="1" ht="22.5">
      <c r="A25" s="277" t="s">
        <v>520</v>
      </c>
      <c r="B25" s="284" t="s">
        <v>471</v>
      </c>
      <c r="C25" s="285" t="s">
        <v>470</v>
      </c>
      <c r="D25" s="280" t="s">
        <v>298</v>
      </c>
      <c r="E25" s="282">
        <v>19</v>
      </c>
      <c r="F25" s="282">
        <v>61.79</v>
      </c>
      <c r="G25" s="282">
        <v>75.67</v>
      </c>
      <c r="H25" s="283">
        <f>E25*G25</f>
        <v>1437.73</v>
      </c>
      <c r="K25" s="140">
        <f>F25*1.2247</f>
        <v>75.674213</v>
      </c>
    </row>
    <row r="26" spans="1:11" s="118" customFormat="1" ht="17.25" customHeight="1">
      <c r="A26" s="277" t="s">
        <v>521</v>
      </c>
      <c r="B26" s="284" t="s">
        <v>344</v>
      </c>
      <c r="C26" s="285" t="s">
        <v>417</v>
      </c>
      <c r="D26" s="280" t="s">
        <v>298</v>
      </c>
      <c r="E26" s="282">
        <v>4.86</v>
      </c>
      <c r="F26" s="282">
        <v>41.47</v>
      </c>
      <c r="G26" s="282">
        <v>50.79</v>
      </c>
      <c r="H26" s="283">
        <f t="shared" si="0"/>
        <v>246.8394</v>
      </c>
      <c r="K26" s="140">
        <f t="shared" si="1"/>
        <v>50.78830899999999</v>
      </c>
    </row>
    <row r="27" spans="1:11" s="118" customFormat="1" ht="33.75">
      <c r="A27" s="277" t="s">
        <v>522</v>
      </c>
      <c r="B27" s="287" t="s">
        <v>424</v>
      </c>
      <c r="C27" s="285" t="s">
        <v>421</v>
      </c>
      <c r="D27" s="288" t="s">
        <v>160</v>
      </c>
      <c r="E27" s="282">
        <v>78.44</v>
      </c>
      <c r="F27" s="289">
        <v>103.65</v>
      </c>
      <c r="G27" s="282">
        <v>126.94</v>
      </c>
      <c r="H27" s="283">
        <f>E27*G27</f>
        <v>9957.1736</v>
      </c>
      <c r="K27" s="140">
        <f>F27*1.2247</f>
        <v>126.94015499999999</v>
      </c>
    </row>
    <row r="28" spans="1:11" s="118" customFormat="1" ht="24" customHeight="1">
      <c r="A28" s="277" t="s">
        <v>523</v>
      </c>
      <c r="B28" s="287" t="s">
        <v>478</v>
      </c>
      <c r="C28" s="285" t="s">
        <v>477</v>
      </c>
      <c r="D28" s="288" t="s">
        <v>160</v>
      </c>
      <c r="E28" s="282">
        <v>88.52</v>
      </c>
      <c r="F28" s="289">
        <v>41.04</v>
      </c>
      <c r="G28" s="282">
        <v>50.26</v>
      </c>
      <c r="H28" s="283">
        <f>E28*G28</f>
        <v>4449.0152</v>
      </c>
      <c r="K28" s="140">
        <f>F28*1.2247</f>
        <v>50.26168799999999</v>
      </c>
    </row>
    <row r="29" spans="1:11" s="25" customFormat="1" ht="16.5" customHeight="1">
      <c r="A29" s="146">
        <v>3</v>
      </c>
      <c r="B29" s="147"/>
      <c r="C29" s="148" t="s">
        <v>570</v>
      </c>
      <c r="D29" s="149"/>
      <c r="E29" s="150"/>
      <c r="F29" s="150"/>
      <c r="G29" s="151" t="s">
        <v>420</v>
      </c>
      <c r="H29" s="153">
        <f>SUM(H30:H35)</f>
        <v>24985.706600000005</v>
      </c>
      <c r="K29" s="140">
        <f t="shared" si="1"/>
        <v>0</v>
      </c>
    </row>
    <row r="30" spans="1:11" s="144" customFormat="1" ht="45">
      <c r="A30" s="277" t="s">
        <v>22</v>
      </c>
      <c r="B30" s="287" t="s">
        <v>441</v>
      </c>
      <c r="C30" s="285" t="s">
        <v>464</v>
      </c>
      <c r="D30" s="288" t="s">
        <v>160</v>
      </c>
      <c r="E30" s="282">
        <v>228.18</v>
      </c>
      <c r="F30" s="289">
        <v>74.89</v>
      </c>
      <c r="G30" s="282">
        <v>91.72</v>
      </c>
      <c r="H30" s="283">
        <f aca="true" t="shared" si="2" ref="H30:H44">E30*G30</f>
        <v>20928.6696</v>
      </c>
      <c r="K30" s="145">
        <f t="shared" si="1"/>
        <v>91.717783</v>
      </c>
    </row>
    <row r="31" spans="1:11" s="118" customFormat="1" ht="22.5" customHeight="1">
      <c r="A31" s="277" t="s">
        <v>132</v>
      </c>
      <c r="B31" s="287" t="s">
        <v>367</v>
      </c>
      <c r="C31" s="285" t="s">
        <v>368</v>
      </c>
      <c r="D31" s="288" t="s">
        <v>23</v>
      </c>
      <c r="E31" s="282">
        <v>16.8</v>
      </c>
      <c r="F31" s="289">
        <v>82</v>
      </c>
      <c r="G31" s="282">
        <v>100.43</v>
      </c>
      <c r="H31" s="283">
        <f t="shared" si="2"/>
        <v>1687.2240000000002</v>
      </c>
      <c r="K31" s="140">
        <f t="shared" si="1"/>
        <v>100.4254</v>
      </c>
    </row>
    <row r="32" spans="1:11" s="118" customFormat="1" ht="22.5" customHeight="1">
      <c r="A32" s="277" t="s">
        <v>133</v>
      </c>
      <c r="B32" s="287" t="s">
        <v>373</v>
      </c>
      <c r="C32" s="285" t="s">
        <v>374</v>
      </c>
      <c r="D32" s="288" t="s">
        <v>23</v>
      </c>
      <c r="E32" s="282">
        <v>2.8</v>
      </c>
      <c r="F32" s="289">
        <v>63.95</v>
      </c>
      <c r="G32" s="282">
        <v>78.32</v>
      </c>
      <c r="H32" s="283">
        <f t="shared" si="2"/>
        <v>219.29599999999996</v>
      </c>
      <c r="K32" s="140">
        <f t="shared" si="1"/>
        <v>78.319565</v>
      </c>
    </row>
    <row r="33" spans="1:11" s="118" customFormat="1" ht="22.5" customHeight="1">
      <c r="A33" s="277" t="s">
        <v>134</v>
      </c>
      <c r="B33" s="287" t="s">
        <v>375</v>
      </c>
      <c r="C33" s="285" t="s">
        <v>376</v>
      </c>
      <c r="D33" s="288" t="s">
        <v>23</v>
      </c>
      <c r="E33" s="282">
        <v>2.8</v>
      </c>
      <c r="F33" s="289">
        <v>62.42</v>
      </c>
      <c r="G33" s="282">
        <v>76.45</v>
      </c>
      <c r="H33" s="283">
        <f t="shared" si="2"/>
        <v>214.06</v>
      </c>
      <c r="K33" s="140">
        <f t="shared" si="1"/>
        <v>76.445774</v>
      </c>
    </row>
    <row r="34" spans="1:11" s="118" customFormat="1" ht="22.5" customHeight="1">
      <c r="A34" s="277" t="s">
        <v>524</v>
      </c>
      <c r="B34" s="287" t="s">
        <v>369</v>
      </c>
      <c r="C34" s="285" t="s">
        <v>370</v>
      </c>
      <c r="D34" s="288" t="s">
        <v>23</v>
      </c>
      <c r="E34" s="282">
        <v>16.8</v>
      </c>
      <c r="F34" s="289">
        <v>77.1</v>
      </c>
      <c r="G34" s="282">
        <v>94.42</v>
      </c>
      <c r="H34" s="283">
        <f t="shared" si="2"/>
        <v>1586.256</v>
      </c>
      <c r="K34" s="140">
        <f t="shared" si="1"/>
        <v>94.42436999999998</v>
      </c>
    </row>
    <row r="35" spans="1:11" s="118" customFormat="1" ht="22.5" customHeight="1">
      <c r="A35" s="277" t="s">
        <v>525</v>
      </c>
      <c r="B35" s="287" t="s">
        <v>371</v>
      </c>
      <c r="C35" s="285" t="s">
        <v>372</v>
      </c>
      <c r="D35" s="288" t="s">
        <v>23</v>
      </c>
      <c r="E35" s="282">
        <v>6.1</v>
      </c>
      <c r="F35" s="289">
        <v>46.88</v>
      </c>
      <c r="G35" s="282">
        <v>57.41</v>
      </c>
      <c r="H35" s="283">
        <f t="shared" si="2"/>
        <v>350.20099999999996</v>
      </c>
      <c r="K35" s="140">
        <f t="shared" si="1"/>
        <v>57.413936</v>
      </c>
    </row>
    <row r="36" spans="1:11" s="25" customFormat="1" ht="16.5" customHeight="1">
      <c r="A36" s="146">
        <v>4</v>
      </c>
      <c r="B36" s="147"/>
      <c r="C36" s="148" t="s">
        <v>345</v>
      </c>
      <c r="D36" s="154"/>
      <c r="E36" s="151"/>
      <c r="F36" s="151"/>
      <c r="G36" s="151" t="s">
        <v>420</v>
      </c>
      <c r="H36" s="153">
        <f>SUM(H37:H41)</f>
        <v>15399.826000000001</v>
      </c>
      <c r="K36" s="140">
        <f t="shared" si="1"/>
        <v>0</v>
      </c>
    </row>
    <row r="37" spans="1:11" s="118" customFormat="1" ht="24" customHeight="1">
      <c r="A37" s="277" t="s">
        <v>119</v>
      </c>
      <c r="B37" s="287" t="s">
        <v>436</v>
      </c>
      <c r="C37" s="285" t="s">
        <v>435</v>
      </c>
      <c r="D37" s="288" t="s">
        <v>160</v>
      </c>
      <c r="E37" s="282">
        <v>6.8</v>
      </c>
      <c r="F37" s="289">
        <v>453.08</v>
      </c>
      <c r="G37" s="282">
        <v>554.89</v>
      </c>
      <c r="H37" s="283">
        <f t="shared" si="2"/>
        <v>3773.252</v>
      </c>
      <c r="K37" s="140">
        <f t="shared" si="1"/>
        <v>554.887076</v>
      </c>
    </row>
    <row r="38" spans="1:11" s="118" customFormat="1" ht="45">
      <c r="A38" s="277" t="s">
        <v>526</v>
      </c>
      <c r="B38" s="287" t="s">
        <v>433</v>
      </c>
      <c r="C38" s="285" t="s">
        <v>434</v>
      </c>
      <c r="D38" s="288" t="s">
        <v>160</v>
      </c>
      <c r="E38" s="282">
        <v>6.8</v>
      </c>
      <c r="F38" s="289">
        <v>166.97</v>
      </c>
      <c r="G38" s="282">
        <v>204.49</v>
      </c>
      <c r="H38" s="283">
        <f t="shared" si="2"/>
        <v>1390.532</v>
      </c>
      <c r="K38" s="140">
        <f t="shared" si="1"/>
        <v>204.488159</v>
      </c>
    </row>
    <row r="39" spans="1:11" s="118" customFormat="1" ht="23.25" customHeight="1">
      <c r="A39" s="277" t="s">
        <v>527</v>
      </c>
      <c r="B39" s="287" t="s">
        <v>346</v>
      </c>
      <c r="C39" s="285" t="s">
        <v>347</v>
      </c>
      <c r="D39" s="288" t="s">
        <v>160</v>
      </c>
      <c r="E39" s="282">
        <v>8.4</v>
      </c>
      <c r="F39" s="289">
        <v>736.36</v>
      </c>
      <c r="G39" s="282">
        <v>901.82</v>
      </c>
      <c r="H39" s="283">
        <f>E39*G39</f>
        <v>7575.2880000000005</v>
      </c>
      <c r="K39" s="140">
        <f t="shared" si="1"/>
        <v>901.8200919999999</v>
      </c>
    </row>
    <row r="40" spans="1:11" s="118" customFormat="1" ht="23.25" customHeight="1">
      <c r="A40" s="277" t="s">
        <v>528</v>
      </c>
      <c r="B40" s="287" t="s">
        <v>501</v>
      </c>
      <c r="C40" s="285" t="s">
        <v>500</v>
      </c>
      <c r="D40" s="288" t="s">
        <v>338</v>
      </c>
      <c r="E40" s="282">
        <v>1</v>
      </c>
      <c r="F40" s="289">
        <v>1777</v>
      </c>
      <c r="G40" s="282">
        <v>2176.29</v>
      </c>
      <c r="H40" s="283">
        <f>E40*G40</f>
        <v>2176.29</v>
      </c>
      <c r="K40" s="140">
        <f>F40*1.2247</f>
        <v>2176.2918999999997</v>
      </c>
    </row>
    <row r="41" spans="1:11" s="118" customFormat="1" ht="23.25" customHeight="1">
      <c r="A41" s="277" t="s">
        <v>528</v>
      </c>
      <c r="B41" s="287" t="s">
        <v>566</v>
      </c>
      <c r="C41" s="285" t="s">
        <v>567</v>
      </c>
      <c r="D41" s="288" t="s">
        <v>160</v>
      </c>
      <c r="E41" s="282">
        <v>0.96</v>
      </c>
      <c r="F41" s="289">
        <v>412.06</v>
      </c>
      <c r="G41" s="282">
        <v>504.65</v>
      </c>
      <c r="H41" s="283">
        <f>E41*G41</f>
        <v>484.46399999999994</v>
      </c>
      <c r="K41" s="140">
        <f>F41*1.2247</f>
        <v>504.64988199999993</v>
      </c>
    </row>
    <row r="42" spans="1:11" s="25" customFormat="1" ht="16.5" customHeight="1">
      <c r="A42" s="146">
        <v>5</v>
      </c>
      <c r="B42" s="147"/>
      <c r="C42" s="148" t="s">
        <v>348</v>
      </c>
      <c r="D42" s="149"/>
      <c r="E42" s="150"/>
      <c r="F42" s="150"/>
      <c r="G42" s="151" t="s">
        <v>420</v>
      </c>
      <c r="H42" s="153">
        <f>SUM(H43:H48)</f>
        <v>16284.0176</v>
      </c>
      <c r="K42" s="140">
        <f>F42*1.2247</f>
        <v>0</v>
      </c>
    </row>
    <row r="43" spans="1:11" s="118" customFormat="1" ht="33.75">
      <c r="A43" s="277" t="s">
        <v>223</v>
      </c>
      <c r="B43" s="287" t="s">
        <v>442</v>
      </c>
      <c r="C43" s="285" t="s">
        <v>443</v>
      </c>
      <c r="D43" s="288" t="s">
        <v>160</v>
      </c>
      <c r="E43" s="282">
        <v>72.86</v>
      </c>
      <c r="F43" s="289">
        <v>28.68</v>
      </c>
      <c r="G43" s="282">
        <v>35.12</v>
      </c>
      <c r="H43" s="283">
        <f>E43*G43</f>
        <v>2558.8432</v>
      </c>
      <c r="K43" s="140">
        <f aca="true" t="shared" si="3" ref="K43:K48">F43*1.2247</f>
        <v>35.124396</v>
      </c>
    </row>
    <row r="44" spans="1:11" s="118" customFormat="1" ht="45" customHeight="1">
      <c r="A44" s="277" t="s">
        <v>529</v>
      </c>
      <c r="B44" s="287" t="s">
        <v>349</v>
      </c>
      <c r="C44" s="285" t="s">
        <v>350</v>
      </c>
      <c r="D44" s="288" t="s">
        <v>160</v>
      </c>
      <c r="E44" s="282">
        <v>72.86</v>
      </c>
      <c r="F44" s="289">
        <v>41.31</v>
      </c>
      <c r="G44" s="282">
        <v>50.59</v>
      </c>
      <c r="H44" s="283">
        <f t="shared" si="2"/>
        <v>3685.9874000000004</v>
      </c>
      <c r="K44" s="140">
        <f t="shared" si="3"/>
        <v>50.592357</v>
      </c>
    </row>
    <row r="45" spans="1:11" s="118" customFormat="1" ht="34.5" customHeight="1">
      <c r="A45" s="277" t="s">
        <v>356</v>
      </c>
      <c r="B45" s="287" t="s">
        <v>351</v>
      </c>
      <c r="C45" s="285" t="s">
        <v>352</v>
      </c>
      <c r="D45" s="288" t="s">
        <v>23</v>
      </c>
      <c r="E45" s="282">
        <v>29</v>
      </c>
      <c r="F45" s="289">
        <v>107.52</v>
      </c>
      <c r="G45" s="282">
        <v>131.68</v>
      </c>
      <c r="H45" s="283">
        <f>E45*G45</f>
        <v>3818.7200000000003</v>
      </c>
      <c r="K45" s="140">
        <f t="shared" si="3"/>
        <v>131.67974399999997</v>
      </c>
    </row>
    <row r="46" spans="1:11" s="118" customFormat="1" ht="23.25" customHeight="1">
      <c r="A46" s="277" t="s">
        <v>530</v>
      </c>
      <c r="B46" s="287" t="s">
        <v>353</v>
      </c>
      <c r="C46" s="285" t="s">
        <v>354</v>
      </c>
      <c r="D46" s="288" t="s">
        <v>23</v>
      </c>
      <c r="E46" s="282">
        <v>27</v>
      </c>
      <c r="F46" s="289">
        <v>62.13</v>
      </c>
      <c r="G46" s="282">
        <v>76.09</v>
      </c>
      <c r="H46" s="283">
        <f>E46*G46</f>
        <v>2054.4300000000003</v>
      </c>
      <c r="K46" s="140">
        <f t="shared" si="3"/>
        <v>76.090611</v>
      </c>
    </row>
    <row r="47" spans="1:11" s="118" customFormat="1" ht="33.75">
      <c r="A47" s="277" t="s">
        <v>531</v>
      </c>
      <c r="B47" s="287" t="s">
        <v>452</v>
      </c>
      <c r="C47" s="285" t="s">
        <v>451</v>
      </c>
      <c r="D47" s="288" t="s">
        <v>23</v>
      </c>
      <c r="E47" s="282">
        <v>39</v>
      </c>
      <c r="F47" s="289">
        <v>57.35</v>
      </c>
      <c r="G47" s="282">
        <v>70.24</v>
      </c>
      <c r="H47" s="283">
        <f>E47*G47</f>
        <v>2739.3599999999997</v>
      </c>
      <c r="K47" s="140">
        <f t="shared" si="3"/>
        <v>70.23654499999999</v>
      </c>
    </row>
    <row r="48" spans="1:11" s="118" customFormat="1" ht="22.5">
      <c r="A48" s="277" t="s">
        <v>531</v>
      </c>
      <c r="B48" s="287" t="s">
        <v>575</v>
      </c>
      <c r="C48" s="285" t="s">
        <v>574</v>
      </c>
      <c r="D48" s="288" t="s">
        <v>23</v>
      </c>
      <c r="E48" s="282">
        <v>12.3</v>
      </c>
      <c r="F48" s="289">
        <v>94.71</v>
      </c>
      <c r="G48" s="282">
        <v>115.99</v>
      </c>
      <c r="H48" s="283">
        <f>E48*G48</f>
        <v>1426.677</v>
      </c>
      <c r="K48" s="140">
        <f t="shared" si="3"/>
        <v>115.99133699999999</v>
      </c>
    </row>
    <row r="49" spans="1:11" s="25" customFormat="1" ht="16.5" customHeight="1">
      <c r="A49" s="146">
        <v>6</v>
      </c>
      <c r="B49" s="147"/>
      <c r="C49" s="148" t="s">
        <v>358</v>
      </c>
      <c r="D49" s="149"/>
      <c r="E49" s="150"/>
      <c r="F49" s="150"/>
      <c r="G49" s="151"/>
      <c r="H49" s="153">
        <f>SUM(H50:J54)</f>
        <v>37906.1609</v>
      </c>
      <c r="K49" s="140">
        <f>F49*1.2247</f>
        <v>0</v>
      </c>
    </row>
    <row r="50" spans="1:11" s="118" customFormat="1" ht="36" customHeight="1">
      <c r="A50" s="277" t="s">
        <v>283</v>
      </c>
      <c r="B50" s="287" t="s">
        <v>426</v>
      </c>
      <c r="C50" s="285" t="s">
        <v>425</v>
      </c>
      <c r="D50" s="288" t="s">
        <v>160</v>
      </c>
      <c r="E50" s="282">
        <v>380.25</v>
      </c>
      <c r="F50" s="289">
        <v>8.14</v>
      </c>
      <c r="G50" s="282">
        <v>9.97</v>
      </c>
      <c r="H50" s="283">
        <f aca="true" t="shared" si="4" ref="H50:H68">E50*G50</f>
        <v>3791.0925</v>
      </c>
      <c r="K50" s="140">
        <f>F50*1.2247</f>
        <v>9.969058</v>
      </c>
    </row>
    <row r="51" spans="1:11" s="118" customFormat="1" ht="22.5">
      <c r="A51" s="277" t="s">
        <v>355</v>
      </c>
      <c r="B51" s="287" t="s">
        <v>430</v>
      </c>
      <c r="C51" s="285" t="s">
        <v>427</v>
      </c>
      <c r="D51" s="288" t="s">
        <v>160</v>
      </c>
      <c r="E51" s="282">
        <v>341.85</v>
      </c>
      <c r="F51" s="289">
        <v>27.55</v>
      </c>
      <c r="G51" s="282">
        <v>33.74</v>
      </c>
      <c r="H51" s="283">
        <f t="shared" si="4"/>
        <v>11534.019000000002</v>
      </c>
      <c r="K51" s="140">
        <f>F51*1.2247</f>
        <v>33.740485</v>
      </c>
    </row>
    <row r="52" spans="1:11" s="118" customFormat="1" ht="22.5">
      <c r="A52" s="277" t="s">
        <v>532</v>
      </c>
      <c r="B52" s="287" t="s">
        <v>429</v>
      </c>
      <c r="C52" s="285" t="s">
        <v>428</v>
      </c>
      <c r="D52" s="288" t="s">
        <v>160</v>
      </c>
      <c r="E52" s="282">
        <v>380.25</v>
      </c>
      <c r="F52" s="289">
        <v>29.38</v>
      </c>
      <c r="G52" s="282">
        <v>35.98</v>
      </c>
      <c r="H52" s="283">
        <f t="shared" si="4"/>
        <v>13681.394999999999</v>
      </c>
      <c r="K52" s="140">
        <f>F52*1.2247</f>
        <v>35.981685999999996</v>
      </c>
    </row>
    <row r="53" spans="1:11" s="118" customFormat="1" ht="57.75" customHeight="1">
      <c r="A53" s="277" t="s">
        <v>377</v>
      </c>
      <c r="B53" s="287" t="s">
        <v>359</v>
      </c>
      <c r="C53" s="285" t="s">
        <v>360</v>
      </c>
      <c r="D53" s="288" t="s">
        <v>160</v>
      </c>
      <c r="E53" s="282">
        <v>68.86</v>
      </c>
      <c r="F53" s="289">
        <v>68.42</v>
      </c>
      <c r="G53" s="282">
        <v>83.79</v>
      </c>
      <c r="H53" s="283">
        <f t="shared" si="4"/>
        <v>5769.7794</v>
      </c>
      <c r="K53" s="140">
        <f>F53*1.2247</f>
        <v>83.79397399999999</v>
      </c>
    </row>
    <row r="54" spans="1:11" s="118" customFormat="1" ht="12.75">
      <c r="A54" s="277" t="s">
        <v>533</v>
      </c>
      <c r="B54" s="287" t="s">
        <v>450</v>
      </c>
      <c r="C54" s="285" t="s">
        <v>449</v>
      </c>
      <c r="D54" s="288" t="s">
        <v>160</v>
      </c>
      <c r="E54" s="282">
        <v>51.1</v>
      </c>
      <c r="F54" s="289">
        <v>50.01</v>
      </c>
      <c r="G54" s="282">
        <v>61.25</v>
      </c>
      <c r="H54" s="283">
        <f>E54*G54</f>
        <v>3129.875</v>
      </c>
      <c r="K54" s="140">
        <f>F54*1.2247</f>
        <v>61.247246999999994</v>
      </c>
    </row>
    <row r="55" spans="1:11" s="25" customFormat="1" ht="16.5" customHeight="1">
      <c r="A55" s="146">
        <v>7</v>
      </c>
      <c r="B55" s="147"/>
      <c r="C55" s="148" t="s">
        <v>84</v>
      </c>
      <c r="D55" s="149"/>
      <c r="E55" s="150"/>
      <c r="F55" s="150"/>
      <c r="G55" s="151" t="s">
        <v>420</v>
      </c>
      <c r="H55" s="153">
        <f>SUM(H56:J58)</f>
        <v>16633.5206</v>
      </c>
      <c r="K55" s="140">
        <f>F55*1.2247</f>
        <v>0</v>
      </c>
    </row>
    <row r="56" spans="1:11" s="118" customFormat="1" ht="56.25">
      <c r="A56" s="277" t="s">
        <v>290</v>
      </c>
      <c r="B56" s="287" t="s">
        <v>445</v>
      </c>
      <c r="C56" s="285" t="s">
        <v>444</v>
      </c>
      <c r="D56" s="288" t="s">
        <v>160</v>
      </c>
      <c r="E56" s="282">
        <v>73.52</v>
      </c>
      <c r="F56" s="289">
        <v>47.86</v>
      </c>
      <c r="G56" s="282">
        <v>58.61</v>
      </c>
      <c r="H56" s="283">
        <f t="shared" si="4"/>
        <v>4309.0072</v>
      </c>
      <c r="K56" s="140">
        <f>F56*1.2247</f>
        <v>58.614141999999994</v>
      </c>
    </row>
    <row r="57" spans="1:11" s="118" customFormat="1" ht="23.25" customHeight="1">
      <c r="A57" s="277" t="s">
        <v>357</v>
      </c>
      <c r="B57" s="287" t="s">
        <v>365</v>
      </c>
      <c r="C57" s="285" t="s">
        <v>366</v>
      </c>
      <c r="D57" s="288" t="s">
        <v>160</v>
      </c>
      <c r="E57" s="282">
        <v>73.52</v>
      </c>
      <c r="F57" s="289">
        <v>31.82</v>
      </c>
      <c r="G57" s="282">
        <v>38.97</v>
      </c>
      <c r="H57" s="283">
        <f t="shared" si="4"/>
        <v>2865.0744</v>
      </c>
      <c r="K57" s="140">
        <f>F57*1.2247</f>
        <v>38.969953999999994</v>
      </c>
    </row>
    <row r="58" spans="1:11" s="118" customFormat="1" ht="56.25">
      <c r="A58" s="277" t="s">
        <v>534</v>
      </c>
      <c r="B58" s="287" t="s">
        <v>499</v>
      </c>
      <c r="C58" s="285" t="s">
        <v>569</v>
      </c>
      <c r="D58" s="288" t="s">
        <v>160</v>
      </c>
      <c r="E58" s="282">
        <v>62.77</v>
      </c>
      <c r="F58" s="282">
        <v>123.05</v>
      </c>
      <c r="G58" s="282">
        <v>150.7</v>
      </c>
      <c r="H58" s="283">
        <f t="shared" si="4"/>
        <v>9459.439</v>
      </c>
      <c r="K58" s="140">
        <f>F58*1.2247</f>
        <v>150.699335</v>
      </c>
    </row>
    <row r="59" spans="1:11" s="25" customFormat="1" ht="16.5" customHeight="1">
      <c r="A59" s="146">
        <v>8</v>
      </c>
      <c r="B59" s="147"/>
      <c r="C59" s="148" t="s">
        <v>378</v>
      </c>
      <c r="D59" s="149"/>
      <c r="E59" s="150"/>
      <c r="F59" s="150"/>
      <c r="G59" s="151" t="s">
        <v>420</v>
      </c>
      <c r="H59" s="153">
        <f>SUM(H60:H68)</f>
        <v>19659.444499999994</v>
      </c>
      <c r="K59" s="140">
        <f aca="true" t="shared" si="5" ref="K59:K77">F59*1.2247</f>
        <v>0</v>
      </c>
    </row>
    <row r="60" spans="1:11" s="118" customFormat="1" ht="22.5" customHeight="1">
      <c r="A60" s="277" t="s">
        <v>361</v>
      </c>
      <c r="B60" s="287" t="s">
        <v>393</v>
      </c>
      <c r="C60" s="285" t="s">
        <v>394</v>
      </c>
      <c r="D60" s="288" t="s">
        <v>160</v>
      </c>
      <c r="E60" s="282">
        <v>51.1</v>
      </c>
      <c r="F60" s="289">
        <v>19.47</v>
      </c>
      <c r="G60" s="282">
        <v>23.84</v>
      </c>
      <c r="H60" s="283">
        <f t="shared" si="4"/>
        <v>1218.224</v>
      </c>
      <c r="K60" s="140">
        <f t="shared" si="5"/>
        <v>23.844908999999998</v>
      </c>
    </row>
    <row r="61" spans="1:11" s="118" customFormat="1" ht="33.75">
      <c r="A61" s="277" t="s">
        <v>535</v>
      </c>
      <c r="B61" s="287" t="s">
        <v>392</v>
      </c>
      <c r="C61" s="285" t="s">
        <v>447</v>
      </c>
      <c r="D61" s="288" t="s">
        <v>160</v>
      </c>
      <c r="E61" s="282">
        <v>166.23</v>
      </c>
      <c r="F61" s="289">
        <v>12.71</v>
      </c>
      <c r="G61" s="282">
        <v>15.57</v>
      </c>
      <c r="H61" s="283">
        <f t="shared" si="4"/>
        <v>2588.2010999999998</v>
      </c>
      <c r="K61" s="140">
        <f t="shared" si="5"/>
        <v>15.565937</v>
      </c>
    </row>
    <row r="62" spans="1:11" s="118" customFormat="1" ht="21.75" customHeight="1">
      <c r="A62" s="277" t="s">
        <v>536</v>
      </c>
      <c r="B62" s="287" t="s">
        <v>448</v>
      </c>
      <c r="C62" s="285" t="s">
        <v>446</v>
      </c>
      <c r="D62" s="288" t="s">
        <v>160</v>
      </c>
      <c r="E62" s="282">
        <v>185.1</v>
      </c>
      <c r="F62" s="289">
        <v>11.13</v>
      </c>
      <c r="G62" s="282">
        <v>13.63</v>
      </c>
      <c r="H62" s="283">
        <f>E62*G62</f>
        <v>2522.913</v>
      </c>
      <c r="K62" s="140">
        <f>F62*1.2247</f>
        <v>13.630911</v>
      </c>
    </row>
    <row r="63" spans="1:11" s="118" customFormat="1" ht="25.5" customHeight="1">
      <c r="A63" s="277" t="s">
        <v>362</v>
      </c>
      <c r="B63" s="287" t="s">
        <v>385</v>
      </c>
      <c r="C63" s="285" t="s">
        <v>386</v>
      </c>
      <c r="D63" s="288" t="s">
        <v>160</v>
      </c>
      <c r="E63" s="282">
        <v>166.23</v>
      </c>
      <c r="F63" s="289">
        <v>29.23</v>
      </c>
      <c r="G63" s="282">
        <v>35.8</v>
      </c>
      <c r="H63" s="283">
        <f t="shared" si="4"/>
        <v>5951.033999999999</v>
      </c>
      <c r="K63" s="140">
        <f t="shared" si="5"/>
        <v>35.797981</v>
      </c>
    </row>
    <row r="64" spans="1:11" s="118" customFormat="1" ht="24" customHeight="1">
      <c r="A64" s="277" t="s">
        <v>363</v>
      </c>
      <c r="B64" s="287" t="s">
        <v>387</v>
      </c>
      <c r="C64" s="285" t="s">
        <v>388</v>
      </c>
      <c r="D64" s="288" t="s">
        <v>160</v>
      </c>
      <c r="E64" s="282">
        <v>51.1</v>
      </c>
      <c r="F64" s="289">
        <v>3.27</v>
      </c>
      <c r="G64" s="282">
        <v>4</v>
      </c>
      <c r="H64" s="283">
        <f t="shared" si="4"/>
        <v>204.4</v>
      </c>
      <c r="K64" s="140">
        <f t="shared" si="5"/>
        <v>4.004769</v>
      </c>
    </row>
    <row r="65" spans="1:11" s="118" customFormat="1" ht="25.5" customHeight="1">
      <c r="A65" s="277" t="s">
        <v>537</v>
      </c>
      <c r="B65" s="287" t="s">
        <v>389</v>
      </c>
      <c r="C65" s="285" t="s">
        <v>390</v>
      </c>
      <c r="D65" s="288" t="s">
        <v>160</v>
      </c>
      <c r="E65" s="282">
        <v>185.1</v>
      </c>
      <c r="F65" s="289">
        <v>2.87</v>
      </c>
      <c r="G65" s="282">
        <v>3.51</v>
      </c>
      <c r="H65" s="283">
        <f t="shared" si="4"/>
        <v>649.7009999999999</v>
      </c>
      <c r="K65" s="140">
        <f t="shared" si="5"/>
        <v>3.5148889999999997</v>
      </c>
    </row>
    <row r="66" spans="1:11" s="118" customFormat="1" ht="22.5">
      <c r="A66" s="277" t="s">
        <v>538</v>
      </c>
      <c r="B66" s="287" t="s">
        <v>395</v>
      </c>
      <c r="C66" s="285" t="s">
        <v>396</v>
      </c>
      <c r="D66" s="288" t="s">
        <v>160</v>
      </c>
      <c r="E66" s="282">
        <v>51.1</v>
      </c>
      <c r="F66" s="289">
        <v>13.61</v>
      </c>
      <c r="G66" s="282">
        <v>16.67</v>
      </c>
      <c r="H66" s="283">
        <f t="shared" si="4"/>
        <v>851.8370000000001</v>
      </c>
      <c r="K66" s="140">
        <f t="shared" si="5"/>
        <v>16.668166999999997</v>
      </c>
    </row>
    <row r="67" spans="1:11" s="118" customFormat="1" ht="22.5">
      <c r="A67" s="277" t="s">
        <v>364</v>
      </c>
      <c r="B67" s="287" t="s">
        <v>391</v>
      </c>
      <c r="C67" s="285" t="s">
        <v>498</v>
      </c>
      <c r="D67" s="288" t="s">
        <v>160</v>
      </c>
      <c r="E67" s="282">
        <v>331.23</v>
      </c>
      <c r="F67" s="289">
        <v>12.13</v>
      </c>
      <c r="G67" s="282">
        <v>14.86</v>
      </c>
      <c r="H67" s="283">
        <f t="shared" si="4"/>
        <v>4922.0778</v>
      </c>
      <c r="K67" s="140">
        <f t="shared" si="5"/>
        <v>14.855611</v>
      </c>
    </row>
    <row r="68" spans="1:11" s="118" customFormat="1" ht="33.75">
      <c r="A68" s="277" t="s">
        <v>539</v>
      </c>
      <c r="B68" s="287" t="s">
        <v>397</v>
      </c>
      <c r="C68" s="285" t="s">
        <v>398</v>
      </c>
      <c r="D68" s="288" t="s">
        <v>160</v>
      </c>
      <c r="E68" s="282">
        <v>21.98</v>
      </c>
      <c r="F68" s="289">
        <v>27.9</v>
      </c>
      <c r="G68" s="282">
        <v>34.17</v>
      </c>
      <c r="H68" s="283">
        <f t="shared" si="4"/>
        <v>751.0566</v>
      </c>
      <c r="K68" s="140">
        <f t="shared" si="5"/>
        <v>34.169129999999996</v>
      </c>
    </row>
    <row r="69" spans="1:11" s="25" customFormat="1" ht="16.5" customHeight="1">
      <c r="A69" s="146">
        <v>9</v>
      </c>
      <c r="B69" s="147"/>
      <c r="C69" s="148" t="s">
        <v>399</v>
      </c>
      <c r="D69" s="149"/>
      <c r="E69" s="150"/>
      <c r="F69" s="150"/>
      <c r="G69" s="151" t="s">
        <v>420</v>
      </c>
      <c r="H69" s="153">
        <f>SUM(H70:H74)</f>
        <v>4102.280000000001</v>
      </c>
      <c r="K69" s="140">
        <f t="shared" si="5"/>
        <v>0</v>
      </c>
    </row>
    <row r="70" spans="1:11" s="118" customFormat="1" ht="56.25">
      <c r="A70" s="277" t="s">
        <v>540</v>
      </c>
      <c r="B70" s="290" t="s">
        <v>459</v>
      </c>
      <c r="C70" s="279" t="s">
        <v>458</v>
      </c>
      <c r="D70" s="291" t="s">
        <v>338</v>
      </c>
      <c r="E70" s="281">
        <v>6</v>
      </c>
      <c r="F70" s="292">
        <v>126.3</v>
      </c>
      <c r="G70" s="281">
        <v>154.68</v>
      </c>
      <c r="H70" s="283">
        <f>E70*G70</f>
        <v>928.08</v>
      </c>
      <c r="K70" s="140">
        <f>F70*1.2247</f>
        <v>154.67961</v>
      </c>
    </row>
    <row r="71" spans="1:11" s="118" customFormat="1" ht="45">
      <c r="A71" s="277" t="s">
        <v>541</v>
      </c>
      <c r="B71" s="290" t="s">
        <v>476</v>
      </c>
      <c r="C71" s="279" t="s">
        <v>475</v>
      </c>
      <c r="D71" s="291" t="s">
        <v>338</v>
      </c>
      <c r="E71" s="281">
        <v>2</v>
      </c>
      <c r="F71" s="292">
        <v>597.77</v>
      </c>
      <c r="G71" s="281">
        <v>732.09</v>
      </c>
      <c r="H71" s="283">
        <f>E71*G71</f>
        <v>1464.18</v>
      </c>
      <c r="K71" s="140">
        <f>F71*1.2247</f>
        <v>732.0889189999999</v>
      </c>
    </row>
    <row r="72" spans="1:11" s="118" customFormat="1" ht="78.75">
      <c r="A72" s="277" t="s">
        <v>542</v>
      </c>
      <c r="B72" s="290" t="s">
        <v>480</v>
      </c>
      <c r="C72" s="279" t="s">
        <v>479</v>
      </c>
      <c r="D72" s="291" t="s">
        <v>338</v>
      </c>
      <c r="E72" s="281">
        <v>3</v>
      </c>
      <c r="F72" s="292">
        <v>152.48</v>
      </c>
      <c r="G72" s="281">
        <v>186.74</v>
      </c>
      <c r="H72" s="283">
        <f>E72*G72</f>
        <v>560.22</v>
      </c>
      <c r="K72" s="140">
        <f>F72*1.2247</f>
        <v>186.74225599999997</v>
      </c>
    </row>
    <row r="73" spans="1:11" s="118" customFormat="1" ht="56.25">
      <c r="A73" s="277" t="s">
        <v>543</v>
      </c>
      <c r="B73" s="290" t="s">
        <v>481</v>
      </c>
      <c r="C73" s="279" t="s">
        <v>482</v>
      </c>
      <c r="D73" s="291" t="s">
        <v>338</v>
      </c>
      <c r="E73" s="281">
        <v>2</v>
      </c>
      <c r="F73" s="292">
        <v>311.7</v>
      </c>
      <c r="G73" s="281">
        <v>381.74</v>
      </c>
      <c r="H73" s="283">
        <f>E73*G73</f>
        <v>763.48</v>
      </c>
      <c r="K73" s="140">
        <f>F73*1.2247</f>
        <v>381.73898999999994</v>
      </c>
    </row>
    <row r="74" spans="1:11" s="118" customFormat="1" ht="56.25">
      <c r="A74" s="277" t="s">
        <v>544</v>
      </c>
      <c r="B74" s="290" t="s">
        <v>484</v>
      </c>
      <c r="C74" s="279" t="s">
        <v>483</v>
      </c>
      <c r="D74" s="291" t="s">
        <v>338</v>
      </c>
      <c r="E74" s="281">
        <v>2</v>
      </c>
      <c r="F74" s="292">
        <v>157.72</v>
      </c>
      <c r="G74" s="281">
        <v>193.16</v>
      </c>
      <c r="H74" s="283">
        <f>E74*G74</f>
        <v>386.32</v>
      </c>
      <c r="K74" s="140">
        <f>F74*1.2247</f>
        <v>193.15968399999997</v>
      </c>
    </row>
    <row r="75" spans="1:11" s="25" customFormat="1" ht="16.5" customHeight="1">
      <c r="A75" s="146">
        <v>10</v>
      </c>
      <c r="B75" s="147"/>
      <c r="C75" s="148" t="s">
        <v>402</v>
      </c>
      <c r="D75" s="149"/>
      <c r="E75" s="150"/>
      <c r="F75" s="150"/>
      <c r="G75" s="151" t="s">
        <v>420</v>
      </c>
      <c r="H75" s="152">
        <f>SUM(H76:H82)</f>
        <v>5737.963599999999</v>
      </c>
      <c r="K75" s="140">
        <f t="shared" si="5"/>
        <v>0</v>
      </c>
    </row>
    <row r="76" spans="1:11" s="118" customFormat="1" ht="56.25">
      <c r="A76" s="277" t="s">
        <v>379</v>
      </c>
      <c r="B76" s="287" t="s">
        <v>400</v>
      </c>
      <c r="C76" s="285" t="s">
        <v>401</v>
      </c>
      <c r="D76" s="288" t="s">
        <v>338</v>
      </c>
      <c r="E76" s="282">
        <v>2</v>
      </c>
      <c r="F76" s="289">
        <v>561.13</v>
      </c>
      <c r="G76" s="282">
        <v>687.22</v>
      </c>
      <c r="H76" s="283">
        <f aca="true" t="shared" si="6" ref="H76:H81">E76*G76</f>
        <v>1374.44</v>
      </c>
      <c r="K76" s="140">
        <f t="shared" si="5"/>
        <v>687.2159109999999</v>
      </c>
    </row>
    <row r="77" spans="1:11" s="118" customFormat="1" ht="67.5">
      <c r="A77" s="277" t="s">
        <v>380</v>
      </c>
      <c r="B77" s="287" t="s">
        <v>438</v>
      </c>
      <c r="C77" s="285" t="s">
        <v>437</v>
      </c>
      <c r="D77" s="288" t="s">
        <v>338</v>
      </c>
      <c r="E77" s="282">
        <v>3</v>
      </c>
      <c r="F77" s="289">
        <v>345.03</v>
      </c>
      <c r="G77" s="282">
        <v>422.56</v>
      </c>
      <c r="H77" s="283">
        <f t="shared" si="6"/>
        <v>1267.68</v>
      </c>
      <c r="K77" s="140">
        <f t="shared" si="5"/>
        <v>422.55824099999995</v>
      </c>
    </row>
    <row r="78" spans="1:11" s="118" customFormat="1" ht="45">
      <c r="A78" s="277" t="s">
        <v>545</v>
      </c>
      <c r="B78" s="287" t="s">
        <v>440</v>
      </c>
      <c r="C78" s="285" t="s">
        <v>439</v>
      </c>
      <c r="D78" s="288" t="s">
        <v>338</v>
      </c>
      <c r="E78" s="282">
        <v>3</v>
      </c>
      <c r="F78" s="289">
        <v>119.52</v>
      </c>
      <c r="G78" s="282">
        <v>146.38</v>
      </c>
      <c r="H78" s="283">
        <f t="shared" si="6"/>
        <v>439.14</v>
      </c>
      <c r="K78" s="140">
        <f aca="true" t="shared" si="7" ref="K78:K83">F78*1.2247</f>
        <v>146.37614399999998</v>
      </c>
    </row>
    <row r="79" spans="1:11" s="118" customFormat="1" ht="33.75">
      <c r="A79" s="277" t="s">
        <v>381</v>
      </c>
      <c r="B79" s="287" t="s">
        <v>486</v>
      </c>
      <c r="C79" s="285" t="s">
        <v>485</v>
      </c>
      <c r="D79" s="288" t="s">
        <v>338</v>
      </c>
      <c r="E79" s="282">
        <v>1</v>
      </c>
      <c r="F79" s="289">
        <v>42.11</v>
      </c>
      <c r="G79" s="282">
        <v>51.57</v>
      </c>
      <c r="H79" s="283">
        <f>E79*G79</f>
        <v>51.57</v>
      </c>
      <c r="K79" s="140">
        <f>F79*1.2247</f>
        <v>51.57211699999999</v>
      </c>
    </row>
    <row r="80" spans="1:11" s="118" customFormat="1" ht="33.75">
      <c r="A80" s="277" t="s">
        <v>382</v>
      </c>
      <c r="B80" s="287" t="s">
        <v>403</v>
      </c>
      <c r="C80" s="285" t="s">
        <v>404</v>
      </c>
      <c r="D80" s="288" t="s">
        <v>338</v>
      </c>
      <c r="E80" s="282">
        <v>6</v>
      </c>
      <c r="F80" s="289">
        <v>212.71</v>
      </c>
      <c r="G80" s="282">
        <v>260.51</v>
      </c>
      <c r="H80" s="283">
        <f t="shared" si="6"/>
        <v>1563.06</v>
      </c>
      <c r="K80" s="140">
        <f t="shared" si="7"/>
        <v>260.50593699999996</v>
      </c>
    </row>
    <row r="81" spans="1:11" s="118" customFormat="1" ht="22.5" customHeight="1">
      <c r="A81" s="277" t="s">
        <v>383</v>
      </c>
      <c r="B81" s="287" t="s">
        <v>405</v>
      </c>
      <c r="C81" s="285" t="s">
        <v>406</v>
      </c>
      <c r="D81" s="288" t="s">
        <v>338</v>
      </c>
      <c r="E81" s="282">
        <v>2</v>
      </c>
      <c r="F81" s="289">
        <v>236.98</v>
      </c>
      <c r="G81" s="282">
        <v>290.23</v>
      </c>
      <c r="H81" s="283">
        <f t="shared" si="6"/>
        <v>580.46</v>
      </c>
      <c r="K81" s="140">
        <f t="shared" si="7"/>
        <v>290.229406</v>
      </c>
    </row>
    <row r="82" spans="1:11" s="118" customFormat="1" ht="22.5">
      <c r="A82" s="277" t="s">
        <v>384</v>
      </c>
      <c r="B82" s="287" t="s">
        <v>432</v>
      </c>
      <c r="C82" s="285" t="s">
        <v>431</v>
      </c>
      <c r="D82" s="288" t="s">
        <v>160</v>
      </c>
      <c r="E82" s="282">
        <v>1.08</v>
      </c>
      <c r="F82" s="289">
        <v>349</v>
      </c>
      <c r="G82" s="282">
        <v>427.42</v>
      </c>
      <c r="H82" s="283">
        <f>E82*G82</f>
        <v>461.6136</v>
      </c>
      <c r="K82" s="140">
        <f>F82*1.2247</f>
        <v>427.42029999999994</v>
      </c>
    </row>
    <row r="83" spans="1:11" s="25" customFormat="1" ht="16.5" customHeight="1">
      <c r="A83" s="146">
        <v>11</v>
      </c>
      <c r="B83" s="147"/>
      <c r="C83" s="148" t="s">
        <v>111</v>
      </c>
      <c r="D83" s="149"/>
      <c r="E83" s="150"/>
      <c r="F83" s="150"/>
      <c r="G83" s="151" t="s">
        <v>420</v>
      </c>
      <c r="H83" s="153">
        <f>SUM(H84:H92)</f>
        <v>9874.419999999998</v>
      </c>
      <c r="K83" s="140">
        <f t="shared" si="7"/>
        <v>0</v>
      </c>
    </row>
    <row r="84" spans="1:11" s="118" customFormat="1" ht="112.5">
      <c r="A84" s="277" t="s">
        <v>546</v>
      </c>
      <c r="B84" s="290" t="s">
        <v>454</v>
      </c>
      <c r="C84" s="279" t="s">
        <v>453</v>
      </c>
      <c r="D84" s="288" t="s">
        <v>338</v>
      </c>
      <c r="E84" s="281">
        <v>7</v>
      </c>
      <c r="F84" s="292">
        <v>222.93</v>
      </c>
      <c r="G84" s="281">
        <v>273.02</v>
      </c>
      <c r="H84" s="283">
        <f aca="true" t="shared" si="8" ref="H84:H92">E84*G84</f>
        <v>1911.1399999999999</v>
      </c>
      <c r="K84" s="140">
        <f aca="true" t="shared" si="9" ref="K84:K93">F84*1.2247</f>
        <v>273.02237099999996</v>
      </c>
    </row>
    <row r="85" spans="1:11" s="118" customFormat="1" ht="90">
      <c r="A85" s="277" t="s">
        <v>547</v>
      </c>
      <c r="B85" s="287" t="s">
        <v>456</v>
      </c>
      <c r="C85" s="285" t="s">
        <v>455</v>
      </c>
      <c r="D85" s="288" t="s">
        <v>338</v>
      </c>
      <c r="E85" s="282">
        <v>14</v>
      </c>
      <c r="F85" s="289">
        <v>140.39</v>
      </c>
      <c r="G85" s="282">
        <v>171.94</v>
      </c>
      <c r="H85" s="283">
        <f t="shared" si="8"/>
        <v>2407.16</v>
      </c>
      <c r="K85" s="140">
        <f t="shared" si="9"/>
        <v>171.93563299999997</v>
      </c>
    </row>
    <row r="86" spans="1:11" s="118" customFormat="1" ht="33.75">
      <c r="A86" s="277" t="s">
        <v>548</v>
      </c>
      <c r="B86" s="287" t="s">
        <v>407</v>
      </c>
      <c r="C86" s="285" t="s">
        <v>457</v>
      </c>
      <c r="D86" s="288" t="s">
        <v>338</v>
      </c>
      <c r="E86" s="282">
        <v>15</v>
      </c>
      <c r="F86" s="289">
        <v>193.09</v>
      </c>
      <c r="G86" s="282">
        <v>236.48</v>
      </c>
      <c r="H86" s="283">
        <f t="shared" si="8"/>
        <v>3547.2</v>
      </c>
      <c r="K86" s="140">
        <f t="shared" si="9"/>
        <v>236.47732299999998</v>
      </c>
    </row>
    <row r="87" spans="1:11" s="118" customFormat="1" ht="33.75">
      <c r="A87" s="277" t="s">
        <v>549</v>
      </c>
      <c r="B87" s="287" t="s">
        <v>497</v>
      </c>
      <c r="C87" s="285" t="s">
        <v>496</v>
      </c>
      <c r="D87" s="288" t="s">
        <v>338</v>
      </c>
      <c r="E87" s="282">
        <v>3</v>
      </c>
      <c r="F87" s="289">
        <v>175.79</v>
      </c>
      <c r="G87" s="282">
        <v>215.29</v>
      </c>
      <c r="H87" s="283">
        <f>E87*G87</f>
        <v>645.87</v>
      </c>
      <c r="K87" s="140">
        <f>F87*1.2247</f>
        <v>215.29001299999996</v>
      </c>
    </row>
    <row r="88" spans="1:11" s="118" customFormat="1" ht="12.75">
      <c r="A88" s="277" t="s">
        <v>550</v>
      </c>
      <c r="B88" s="287" t="s">
        <v>491</v>
      </c>
      <c r="C88" s="285" t="s">
        <v>492</v>
      </c>
      <c r="D88" s="288" t="s">
        <v>338</v>
      </c>
      <c r="E88" s="282">
        <v>2</v>
      </c>
      <c r="F88" s="289">
        <v>21.69</v>
      </c>
      <c r="G88" s="282">
        <v>26.56</v>
      </c>
      <c r="H88" s="283">
        <f t="shared" si="8"/>
        <v>53.12</v>
      </c>
      <c r="K88" s="140">
        <f>F88*1.2247</f>
        <v>26.563743</v>
      </c>
    </row>
    <row r="89" spans="1:11" s="118" customFormat="1" ht="12.75">
      <c r="A89" s="277" t="s">
        <v>551</v>
      </c>
      <c r="B89" s="287" t="s">
        <v>493</v>
      </c>
      <c r="C89" s="285" t="s">
        <v>494</v>
      </c>
      <c r="D89" s="288" t="s">
        <v>338</v>
      </c>
      <c r="E89" s="282">
        <v>5</v>
      </c>
      <c r="F89" s="289">
        <v>21.69</v>
      </c>
      <c r="G89" s="282">
        <v>26.56</v>
      </c>
      <c r="H89" s="283">
        <f>E89*G89</f>
        <v>132.79999999999998</v>
      </c>
      <c r="K89" s="140">
        <f>F89*1.2247</f>
        <v>26.563743</v>
      </c>
    </row>
    <row r="90" spans="1:11" s="118" customFormat="1" ht="45" customHeight="1">
      <c r="A90" s="277" t="s">
        <v>552</v>
      </c>
      <c r="B90" s="287" t="s">
        <v>408</v>
      </c>
      <c r="C90" s="285" t="s">
        <v>409</v>
      </c>
      <c r="D90" s="288" t="s">
        <v>338</v>
      </c>
      <c r="E90" s="282">
        <v>9</v>
      </c>
      <c r="F90" s="289">
        <v>56.6</v>
      </c>
      <c r="G90" s="282">
        <v>69.32</v>
      </c>
      <c r="H90" s="283">
        <f t="shared" si="8"/>
        <v>623.8799999999999</v>
      </c>
      <c r="K90" s="140">
        <f t="shared" si="9"/>
        <v>69.31801999999999</v>
      </c>
    </row>
    <row r="91" spans="1:11" s="118" customFormat="1" ht="45">
      <c r="A91" s="277" t="s">
        <v>553</v>
      </c>
      <c r="B91" s="287" t="s">
        <v>488</v>
      </c>
      <c r="C91" s="285" t="s">
        <v>487</v>
      </c>
      <c r="D91" s="288" t="s">
        <v>338</v>
      </c>
      <c r="E91" s="282">
        <v>5</v>
      </c>
      <c r="F91" s="289">
        <v>60.28</v>
      </c>
      <c r="G91" s="282">
        <v>73.82</v>
      </c>
      <c r="H91" s="283">
        <f>E91*G91</f>
        <v>369.09999999999997</v>
      </c>
      <c r="K91" s="140">
        <f>F91*1.2247</f>
        <v>73.824916</v>
      </c>
    </row>
    <row r="92" spans="1:11" s="118" customFormat="1" ht="22.5">
      <c r="A92" s="277" t="s">
        <v>554</v>
      </c>
      <c r="B92" s="287" t="s">
        <v>490</v>
      </c>
      <c r="C92" s="285" t="s">
        <v>489</v>
      </c>
      <c r="D92" s="288" t="s">
        <v>338</v>
      </c>
      <c r="E92" s="282">
        <v>1</v>
      </c>
      <c r="F92" s="289">
        <v>150.36</v>
      </c>
      <c r="G92" s="282">
        <v>184.15</v>
      </c>
      <c r="H92" s="283">
        <f t="shared" si="8"/>
        <v>184.15</v>
      </c>
      <c r="K92" s="140">
        <f t="shared" si="9"/>
        <v>184.145892</v>
      </c>
    </row>
    <row r="93" spans="1:11" s="25" customFormat="1" ht="16.5" customHeight="1">
      <c r="A93" s="146">
        <v>12</v>
      </c>
      <c r="B93" s="147"/>
      <c r="C93" s="148" t="s">
        <v>508</v>
      </c>
      <c r="D93" s="149"/>
      <c r="E93" s="150"/>
      <c r="F93" s="150"/>
      <c r="G93" s="151" t="s">
        <v>420</v>
      </c>
      <c r="H93" s="153">
        <f>SUM(H94:H101)</f>
        <v>11885.5392</v>
      </c>
      <c r="K93" s="140">
        <f t="shared" si="9"/>
        <v>0</v>
      </c>
    </row>
    <row r="94" spans="1:11" s="118" customFormat="1" ht="22.5">
      <c r="A94" s="277" t="s">
        <v>555</v>
      </c>
      <c r="B94" s="290" t="s">
        <v>510</v>
      </c>
      <c r="C94" s="279" t="s">
        <v>509</v>
      </c>
      <c r="D94" s="288" t="s">
        <v>160</v>
      </c>
      <c r="E94" s="292">
        <v>61.2</v>
      </c>
      <c r="F94" s="292">
        <v>25.58</v>
      </c>
      <c r="G94" s="281">
        <v>31.33</v>
      </c>
      <c r="H94" s="283">
        <f aca="true" t="shared" si="10" ref="H94:H101">E94*G94</f>
        <v>1917.396</v>
      </c>
      <c r="K94" s="140">
        <f aca="true" t="shared" si="11" ref="K94:K101">F94*1.2247</f>
        <v>31.327825999999995</v>
      </c>
    </row>
    <row r="95" spans="1:11" s="118" customFormat="1" ht="56.25">
      <c r="A95" s="277" t="s">
        <v>410</v>
      </c>
      <c r="B95" s="287" t="s">
        <v>512</v>
      </c>
      <c r="C95" s="285" t="s">
        <v>511</v>
      </c>
      <c r="D95" s="288" t="s">
        <v>338</v>
      </c>
      <c r="E95" s="282">
        <v>2</v>
      </c>
      <c r="F95" s="289">
        <v>340.06</v>
      </c>
      <c r="G95" s="282">
        <v>416.47</v>
      </c>
      <c r="H95" s="283">
        <f t="shared" si="10"/>
        <v>832.94</v>
      </c>
      <c r="K95" s="140">
        <f t="shared" si="11"/>
        <v>416.471482</v>
      </c>
    </row>
    <row r="96" spans="1:11" s="118" customFormat="1" ht="33.75">
      <c r="A96" s="277" t="s">
        <v>556</v>
      </c>
      <c r="B96" s="287" t="s">
        <v>505</v>
      </c>
      <c r="C96" s="285" t="s">
        <v>502</v>
      </c>
      <c r="D96" s="288" t="s">
        <v>160</v>
      </c>
      <c r="E96" s="282">
        <v>45.56</v>
      </c>
      <c r="F96" s="282">
        <v>121.23</v>
      </c>
      <c r="G96" s="282">
        <v>148.47</v>
      </c>
      <c r="H96" s="283">
        <f t="shared" si="10"/>
        <v>6764.2932</v>
      </c>
      <c r="K96" s="140">
        <f t="shared" si="11"/>
        <v>148.470381</v>
      </c>
    </row>
    <row r="97" spans="1:11" s="118" customFormat="1" ht="22.5">
      <c r="A97" s="277" t="s">
        <v>556</v>
      </c>
      <c r="B97" s="287" t="s">
        <v>558</v>
      </c>
      <c r="C97" s="285" t="s">
        <v>557</v>
      </c>
      <c r="D97" s="288" t="s">
        <v>338</v>
      </c>
      <c r="E97" s="282">
        <v>1</v>
      </c>
      <c r="F97" s="282">
        <v>97.05</v>
      </c>
      <c r="G97" s="282">
        <v>118.86</v>
      </c>
      <c r="H97" s="283">
        <f t="shared" si="10"/>
        <v>118.86</v>
      </c>
      <c r="K97" s="140">
        <f t="shared" si="11"/>
        <v>118.85713499999999</v>
      </c>
    </row>
    <row r="98" spans="1:11" s="118" customFormat="1" ht="12.75">
      <c r="A98" s="277" t="s">
        <v>556</v>
      </c>
      <c r="B98" s="287" t="s">
        <v>560</v>
      </c>
      <c r="C98" s="285" t="s">
        <v>559</v>
      </c>
      <c r="D98" s="288" t="s">
        <v>338</v>
      </c>
      <c r="E98" s="282">
        <v>2</v>
      </c>
      <c r="F98" s="282">
        <v>129.31</v>
      </c>
      <c r="G98" s="282">
        <v>158.37</v>
      </c>
      <c r="H98" s="283">
        <f t="shared" si="10"/>
        <v>316.74</v>
      </c>
      <c r="K98" s="140">
        <f t="shared" si="11"/>
        <v>158.36595699999998</v>
      </c>
    </row>
    <row r="99" spans="1:11" s="118" customFormat="1" ht="22.5">
      <c r="A99" s="277" t="s">
        <v>556</v>
      </c>
      <c r="B99" s="287" t="s">
        <v>560</v>
      </c>
      <c r="C99" s="285" t="s">
        <v>561</v>
      </c>
      <c r="D99" s="288" t="s">
        <v>338</v>
      </c>
      <c r="E99" s="282">
        <v>16</v>
      </c>
      <c r="F99" s="282">
        <v>86.2</v>
      </c>
      <c r="G99" s="282">
        <v>105.57</v>
      </c>
      <c r="H99" s="283">
        <f t="shared" si="10"/>
        <v>1689.12</v>
      </c>
      <c r="K99" s="140">
        <f t="shared" si="11"/>
        <v>105.56913999999999</v>
      </c>
    </row>
    <row r="100" spans="1:11" s="118" customFormat="1" ht="22.5">
      <c r="A100" s="277" t="s">
        <v>556</v>
      </c>
      <c r="B100" s="287" t="s">
        <v>563</v>
      </c>
      <c r="C100" s="285" t="s">
        <v>562</v>
      </c>
      <c r="D100" s="288" t="s">
        <v>338</v>
      </c>
      <c r="E100" s="282">
        <v>16</v>
      </c>
      <c r="F100" s="282">
        <v>10.05</v>
      </c>
      <c r="G100" s="282">
        <v>12.31</v>
      </c>
      <c r="H100" s="283">
        <f t="shared" si="10"/>
        <v>196.96</v>
      </c>
      <c r="K100" s="140">
        <f t="shared" si="11"/>
        <v>12.308235</v>
      </c>
    </row>
    <row r="101" spans="1:11" s="118" customFormat="1" ht="34.5" thickBot="1">
      <c r="A101" s="277" t="s">
        <v>556</v>
      </c>
      <c r="B101" s="287" t="s">
        <v>565</v>
      </c>
      <c r="C101" s="285" t="s">
        <v>564</v>
      </c>
      <c r="D101" s="288" t="s">
        <v>338</v>
      </c>
      <c r="E101" s="282">
        <v>3</v>
      </c>
      <c r="F101" s="282">
        <v>13.4</v>
      </c>
      <c r="G101" s="282">
        <v>16.41</v>
      </c>
      <c r="H101" s="283">
        <f t="shared" si="10"/>
        <v>49.230000000000004</v>
      </c>
      <c r="K101" s="140">
        <f t="shared" si="11"/>
        <v>16.41098</v>
      </c>
    </row>
    <row r="102" spans="1:11" ht="15.75" customHeight="1" thickBot="1">
      <c r="A102" s="228" t="s">
        <v>24</v>
      </c>
      <c r="B102" s="229"/>
      <c r="C102" s="229"/>
      <c r="D102" s="229"/>
      <c r="E102" s="229"/>
      <c r="F102" s="229"/>
      <c r="G102" s="230"/>
      <c r="H102" s="160">
        <f>SUM(H11,H29,H36,H42,H49,H55,H59,H69,H75,H83,H16,H93)</f>
        <v>207559.02389999997</v>
      </c>
      <c r="J102" s="61">
        <v>114842.08</v>
      </c>
      <c r="K102" s="119">
        <f aca="true" t="shared" si="12" ref="K102:K114">F102*1.2247</f>
        <v>0</v>
      </c>
    </row>
    <row r="103" spans="1:11" ht="14.25" customHeight="1" hidden="1" thickBot="1">
      <c r="A103" s="186" t="s">
        <v>322</v>
      </c>
      <c r="B103" s="187"/>
      <c r="C103" s="187"/>
      <c r="D103" s="187"/>
      <c r="E103" s="187"/>
      <c r="F103" s="187"/>
      <c r="G103" s="187"/>
      <c r="H103" s="42">
        <v>114842.08</v>
      </c>
      <c r="J103" s="61">
        <f>J102-H102</f>
        <v>-92716.94389999997</v>
      </c>
      <c r="K103" s="119">
        <f t="shared" si="12"/>
        <v>0</v>
      </c>
    </row>
    <row r="104" spans="1:11" ht="11.25" customHeight="1">
      <c r="A104" s="120"/>
      <c r="B104" s="120"/>
      <c r="C104" s="120"/>
      <c r="D104" s="120"/>
      <c r="E104" s="120"/>
      <c r="F104" s="120"/>
      <c r="G104" s="120"/>
      <c r="H104" s="120"/>
      <c r="K104" s="119">
        <f t="shared" si="12"/>
        <v>0</v>
      </c>
    </row>
    <row r="105" spans="1:11" ht="11.25" customHeight="1">
      <c r="A105" s="120"/>
      <c r="B105" s="120"/>
      <c r="C105" s="120"/>
      <c r="D105" s="120"/>
      <c r="E105" s="120"/>
      <c r="F105" s="120"/>
      <c r="G105" s="120"/>
      <c r="H105" s="120"/>
      <c r="K105" s="119"/>
    </row>
    <row r="106" spans="1:11" ht="11.25" customHeight="1">
      <c r="A106" s="120"/>
      <c r="B106" s="120"/>
      <c r="C106" s="120"/>
      <c r="D106" s="120"/>
      <c r="E106" s="120"/>
      <c r="F106" s="120"/>
      <c r="G106" s="120"/>
      <c r="H106" s="120"/>
      <c r="K106" s="119"/>
    </row>
    <row r="107" spans="1:11" ht="11.25" customHeight="1">
      <c r="A107" s="120"/>
      <c r="B107" s="120"/>
      <c r="C107" s="120"/>
      <c r="D107" s="120"/>
      <c r="E107" s="120"/>
      <c r="F107" s="120"/>
      <c r="G107" s="120"/>
      <c r="H107" s="120"/>
      <c r="K107" s="119">
        <f t="shared" si="12"/>
        <v>0</v>
      </c>
    </row>
    <row r="108" spans="1:11" ht="11.25" customHeight="1">
      <c r="A108" s="120"/>
      <c r="B108" s="232"/>
      <c r="C108" s="232"/>
      <c r="D108" s="120"/>
      <c r="E108" s="232" t="s">
        <v>462</v>
      </c>
      <c r="F108" s="232"/>
      <c r="G108" s="121"/>
      <c r="H108" s="120"/>
      <c r="K108" s="119">
        <f t="shared" si="12"/>
        <v>0</v>
      </c>
    </row>
    <row r="109" spans="1:11" ht="12.75">
      <c r="A109" s="6"/>
      <c r="B109" s="177" t="s">
        <v>460</v>
      </c>
      <c r="C109" s="177"/>
      <c r="D109" s="6"/>
      <c r="E109" s="178" t="s">
        <v>461</v>
      </c>
      <c r="F109" s="178"/>
      <c r="G109" s="9"/>
      <c r="H109" s="6"/>
      <c r="K109" s="119">
        <f t="shared" si="12"/>
        <v>0</v>
      </c>
    </row>
    <row r="110" spans="1:11" ht="12.75">
      <c r="A110" s="118"/>
      <c r="B110" s="118"/>
      <c r="C110" s="138"/>
      <c r="D110" s="118"/>
      <c r="E110" s="118"/>
      <c r="F110" s="118"/>
      <c r="G110" s="118"/>
      <c r="H110" s="118"/>
      <c r="K110" s="119">
        <f t="shared" si="12"/>
        <v>0</v>
      </c>
    </row>
    <row r="111" spans="1:11" ht="12.75">
      <c r="A111" s="118"/>
      <c r="B111" s="118"/>
      <c r="C111" s="138"/>
      <c r="D111" s="118"/>
      <c r="E111" s="118"/>
      <c r="F111" s="118"/>
      <c r="G111" s="118"/>
      <c r="H111" s="118"/>
      <c r="K111" s="119">
        <f t="shared" si="12"/>
        <v>0</v>
      </c>
    </row>
    <row r="112" spans="1:11" ht="11.25" customHeight="1">
      <c r="A112" s="120"/>
      <c r="B112" s="232"/>
      <c r="C112" s="232"/>
      <c r="D112" s="120"/>
      <c r="E112" s="231"/>
      <c r="F112" s="231"/>
      <c r="G112" s="121"/>
      <c r="H112" s="120"/>
      <c r="K112" s="119">
        <f t="shared" si="12"/>
        <v>0</v>
      </c>
    </row>
    <row r="113" spans="1:11" ht="12.75">
      <c r="A113" s="6"/>
      <c r="B113" s="177" t="s">
        <v>325</v>
      </c>
      <c r="C113" s="177"/>
      <c r="D113" s="6"/>
      <c r="E113" s="178"/>
      <c r="F113" s="178"/>
      <c r="G113" s="9"/>
      <c r="H113" s="6"/>
      <c r="K113" s="119">
        <f t="shared" si="12"/>
        <v>0</v>
      </c>
    </row>
    <row r="114" ht="12" customHeight="1">
      <c r="K114" s="119">
        <f t="shared" si="12"/>
        <v>0</v>
      </c>
    </row>
    <row r="115" ht="11.25" customHeight="1"/>
    <row r="116" ht="12" customHeight="1"/>
    <row r="117" ht="13.5" customHeight="1"/>
    <row r="118" ht="4.5" customHeight="1"/>
  </sheetData>
  <sheetProtection/>
  <mergeCells count="23">
    <mergeCell ref="E6:H6"/>
    <mergeCell ref="E7:E8"/>
    <mergeCell ref="A5:D5"/>
    <mergeCell ref="E109:F109"/>
    <mergeCell ref="B112:C112"/>
    <mergeCell ref="B109:C109"/>
    <mergeCell ref="A1:B1"/>
    <mergeCell ref="C1:H1"/>
    <mergeCell ref="A2:H2"/>
    <mergeCell ref="A3:H3"/>
    <mergeCell ref="E108:F108"/>
    <mergeCell ref="E5:H5"/>
    <mergeCell ref="A6:D6"/>
    <mergeCell ref="A8:D8"/>
    <mergeCell ref="F7:F8"/>
    <mergeCell ref="A7:D7"/>
    <mergeCell ref="B113:C113"/>
    <mergeCell ref="E113:F113"/>
    <mergeCell ref="A103:G103"/>
    <mergeCell ref="A9:H9"/>
    <mergeCell ref="A102:G102"/>
    <mergeCell ref="E112:F112"/>
    <mergeCell ref="B108:C108"/>
  </mergeCells>
  <printOptions horizontalCentered="1"/>
  <pageMargins left="0.3937007874015748" right="0.3937007874015748" top="0.3937007874015748" bottom="0.3937007874015748" header="0" footer="0"/>
  <pageSetup horizontalDpi="600" verticalDpi="600" orientation="portrait" paperSize="9" scale="73" r:id="rId2"/>
  <headerFooter alignWithMargins="0">
    <oddHeader>&amp;R
 &amp;P de &amp;N</oddHeader>
  </headerFooter>
  <rowBreaks count="2" manualBreakCount="2">
    <brk id="45" max="7" man="1"/>
    <brk id="74" max="7" man="1"/>
  </rowBreaks>
  <drawing r:id="rId1"/>
</worksheet>
</file>

<file path=xl/worksheets/sheet5.xml><?xml version="1.0" encoding="utf-8"?>
<worksheet xmlns="http://schemas.openxmlformats.org/spreadsheetml/2006/main" xmlns:r="http://schemas.openxmlformats.org/officeDocument/2006/relationships">
  <sheetPr>
    <tabColor rgb="FFFFC000"/>
  </sheetPr>
  <dimension ref="A1:J49"/>
  <sheetViews>
    <sheetView showGridLines="0" showZeros="0" tabSelected="1" view="pageBreakPreview" zoomScale="110" zoomScaleNormal="75" zoomScaleSheetLayoutView="110" zoomScalePageLayoutView="0" workbookViewId="0" topLeftCell="A1">
      <selection activeCell="J44" sqref="J44"/>
    </sheetView>
  </sheetViews>
  <sheetFormatPr defaultColWidth="9.140625" defaultRowHeight="12.75"/>
  <cols>
    <col min="1" max="1" width="10.57421875" style="44" customWidth="1"/>
    <col min="2" max="2" width="51.00390625" style="44" customWidth="1"/>
    <col min="3" max="3" width="14.421875" style="45" customWidth="1"/>
    <col min="4" max="4" width="12.421875" style="45" bestFit="1" customWidth="1"/>
    <col min="5" max="7" width="10.7109375" style="44" customWidth="1"/>
    <col min="8" max="8" width="11.7109375" style="44" customWidth="1"/>
    <col min="9" max="9" width="9.140625" style="44" customWidth="1"/>
    <col min="10" max="10" width="17.7109375" style="44" customWidth="1"/>
    <col min="11" max="16384" width="9.140625" style="44" customWidth="1"/>
  </cols>
  <sheetData>
    <row r="1" spans="1:8" ht="69.75" customHeight="1">
      <c r="A1" s="246"/>
      <c r="B1" s="247"/>
      <c r="C1" s="247"/>
      <c r="D1" s="247"/>
      <c r="E1" s="247"/>
      <c r="F1" s="247"/>
      <c r="G1" s="247"/>
      <c r="H1" s="248"/>
    </row>
    <row r="2" spans="1:8" ht="18" customHeight="1">
      <c r="A2" s="249" t="s">
        <v>27</v>
      </c>
      <c r="B2" s="250"/>
      <c r="C2" s="250"/>
      <c r="D2" s="250"/>
      <c r="E2" s="251"/>
      <c r="F2" s="251"/>
      <c r="G2" s="251"/>
      <c r="H2" s="252"/>
    </row>
    <row r="3" spans="1:8" ht="15.75" customHeight="1">
      <c r="A3" s="257" t="str">
        <f>Planilha!A5</f>
        <v>OBRA: Construção de Anexo para Central de Vacina no SESP</v>
      </c>
      <c r="B3" s="258"/>
      <c r="C3" s="261" t="s">
        <v>577</v>
      </c>
      <c r="D3" s="262"/>
      <c r="E3" s="253" t="s">
        <v>576</v>
      </c>
      <c r="F3" s="254"/>
      <c r="G3" s="254"/>
      <c r="H3" s="267"/>
    </row>
    <row r="4" spans="1:8" ht="10.5" customHeight="1">
      <c r="A4" s="257"/>
      <c r="B4" s="258"/>
      <c r="C4" s="261"/>
      <c r="D4" s="262"/>
      <c r="E4" s="255"/>
      <c r="F4" s="256"/>
      <c r="G4" s="256"/>
      <c r="H4" s="268"/>
    </row>
    <row r="5" spans="1:8" ht="28.5" customHeight="1">
      <c r="A5" s="131" t="s">
        <v>0</v>
      </c>
      <c r="B5" s="122" t="s">
        <v>28</v>
      </c>
      <c r="C5" s="123" t="s">
        <v>29</v>
      </c>
      <c r="D5" s="123" t="s">
        <v>30</v>
      </c>
      <c r="E5" s="142" t="s">
        <v>31</v>
      </c>
      <c r="F5" s="142" t="s">
        <v>32</v>
      </c>
      <c r="G5" s="142" t="s">
        <v>33</v>
      </c>
      <c r="H5" s="269" t="s">
        <v>34</v>
      </c>
    </row>
    <row r="6" spans="1:8" ht="14.25" customHeight="1">
      <c r="A6" s="244">
        <v>1</v>
      </c>
      <c r="B6" s="245" t="str">
        <f>Planilha!C11</f>
        <v>SERVIÇOS PRELIMINARES</v>
      </c>
      <c r="C6" s="124" t="s">
        <v>35</v>
      </c>
      <c r="D6" s="126">
        <f>D7/D41</f>
        <v>0.017359032299823805</v>
      </c>
      <c r="E6" s="126">
        <v>1</v>
      </c>
      <c r="F6" s="126"/>
      <c r="G6" s="126"/>
      <c r="H6" s="270"/>
    </row>
    <row r="7" spans="1:8" ht="14.25" customHeight="1">
      <c r="A7" s="244"/>
      <c r="B7" s="245"/>
      <c r="C7" s="124" t="s">
        <v>36</v>
      </c>
      <c r="D7" s="128">
        <f>Planilha!H11</f>
        <v>3603.0238000000004</v>
      </c>
      <c r="E7" s="128">
        <f>D7</f>
        <v>3603.0238000000004</v>
      </c>
      <c r="F7" s="128"/>
      <c r="G7" s="128"/>
      <c r="H7" s="271"/>
    </row>
    <row r="8" spans="1:8" ht="14.25" customHeight="1" hidden="1">
      <c r="A8" s="244">
        <v>2</v>
      </c>
      <c r="B8" s="161" t="s">
        <v>326</v>
      </c>
      <c r="C8" s="124"/>
      <c r="D8" s="126"/>
      <c r="E8" s="126"/>
      <c r="F8" s="126"/>
      <c r="G8" s="126"/>
      <c r="H8" s="270"/>
    </row>
    <row r="9" spans="1:8" ht="14.25" customHeight="1" hidden="1">
      <c r="A9" s="244"/>
      <c r="B9" s="161" t="s">
        <v>327</v>
      </c>
      <c r="C9" s="124"/>
      <c r="D9" s="128"/>
      <c r="E9" s="128"/>
      <c r="F9" s="128"/>
      <c r="G9" s="128"/>
      <c r="H9" s="271"/>
    </row>
    <row r="10" spans="1:8" ht="14.25" customHeight="1" hidden="1">
      <c r="A10" s="244">
        <v>3</v>
      </c>
      <c r="B10" s="129" t="s">
        <v>328</v>
      </c>
      <c r="C10" s="124"/>
      <c r="D10" s="126"/>
      <c r="E10" s="126"/>
      <c r="F10" s="126"/>
      <c r="G10" s="126"/>
      <c r="H10" s="270"/>
    </row>
    <row r="11" spans="1:8" ht="14.25" customHeight="1" hidden="1">
      <c r="A11" s="244"/>
      <c r="B11" s="161" t="s">
        <v>332</v>
      </c>
      <c r="C11" s="124"/>
      <c r="D11" s="128"/>
      <c r="E11" s="128"/>
      <c r="F11" s="128"/>
      <c r="G11" s="128"/>
      <c r="H11" s="271"/>
    </row>
    <row r="12" spans="1:8" ht="14.25" customHeight="1" hidden="1">
      <c r="A12" s="244">
        <v>4</v>
      </c>
      <c r="B12" s="161" t="s">
        <v>330</v>
      </c>
      <c r="C12" s="124"/>
      <c r="D12" s="126"/>
      <c r="E12" s="126"/>
      <c r="F12" s="126"/>
      <c r="G12" s="126"/>
      <c r="H12" s="270"/>
    </row>
    <row r="13" spans="1:8" ht="14.25" customHeight="1" hidden="1">
      <c r="A13" s="244"/>
      <c r="B13" s="161" t="s">
        <v>329</v>
      </c>
      <c r="C13" s="124"/>
      <c r="D13" s="128"/>
      <c r="E13" s="128"/>
      <c r="F13" s="128"/>
      <c r="G13" s="128"/>
      <c r="H13" s="271"/>
    </row>
    <row r="14" spans="1:8" ht="14.25" customHeight="1" hidden="1">
      <c r="A14" s="244">
        <v>5</v>
      </c>
      <c r="B14" s="161" t="s">
        <v>333</v>
      </c>
      <c r="C14" s="124"/>
      <c r="D14" s="126"/>
      <c r="E14" s="126"/>
      <c r="F14" s="126"/>
      <c r="G14" s="126"/>
      <c r="H14" s="270"/>
    </row>
    <row r="15" spans="1:8" ht="14.25" customHeight="1" hidden="1">
      <c r="A15" s="244"/>
      <c r="B15" s="161" t="s">
        <v>331</v>
      </c>
      <c r="C15" s="124"/>
      <c r="D15" s="128"/>
      <c r="E15" s="128"/>
      <c r="F15" s="128"/>
      <c r="G15" s="128"/>
      <c r="H15" s="271"/>
    </row>
    <row r="16" spans="1:8" ht="14.25" customHeight="1">
      <c r="A16" s="244">
        <v>2</v>
      </c>
      <c r="B16" s="245" t="str">
        <f>Planilha!C16</f>
        <v>ESTRUTURAS DE CONCRETO</v>
      </c>
      <c r="C16" s="124" t="s">
        <v>35</v>
      </c>
      <c r="D16" s="126">
        <f>D17/D41</f>
        <v>0.19988107633416177</v>
      </c>
      <c r="E16" s="126">
        <v>0.6</v>
      </c>
      <c r="F16" s="126">
        <v>0.4</v>
      </c>
      <c r="G16" s="126"/>
      <c r="H16" s="270"/>
    </row>
    <row r="17" spans="1:8" ht="14.25" customHeight="1">
      <c r="A17" s="244"/>
      <c r="B17" s="245"/>
      <c r="C17" s="124" t="s">
        <v>36</v>
      </c>
      <c r="D17" s="128">
        <f>Planilha!H16</f>
        <v>41487.121100000004</v>
      </c>
      <c r="E17" s="128">
        <f>E16*D17</f>
        <v>24892.272660000002</v>
      </c>
      <c r="F17" s="128">
        <f>F16*D17</f>
        <v>16594.84844</v>
      </c>
      <c r="G17" s="128"/>
      <c r="H17" s="271"/>
    </row>
    <row r="18" spans="1:8" ht="14.25" customHeight="1">
      <c r="A18" s="244">
        <v>3</v>
      </c>
      <c r="B18" s="245" t="str">
        <f>Planilha!C29</f>
        <v>ALVENARIAS</v>
      </c>
      <c r="C18" s="124" t="s">
        <v>35</v>
      </c>
      <c r="D18" s="126">
        <f>D19/D41</f>
        <v>0.12037880180067666</v>
      </c>
      <c r="E18" s="126"/>
      <c r="F18" s="127">
        <v>1</v>
      </c>
      <c r="G18" s="126"/>
      <c r="H18" s="270"/>
    </row>
    <row r="19" spans="1:8" ht="14.25" customHeight="1">
      <c r="A19" s="244"/>
      <c r="B19" s="245"/>
      <c r="C19" s="124" t="s">
        <v>36</v>
      </c>
      <c r="D19" s="128">
        <f>Planilha!H29</f>
        <v>24985.706600000005</v>
      </c>
      <c r="E19" s="128"/>
      <c r="F19" s="128">
        <f>F18*D19</f>
        <v>24985.706600000005</v>
      </c>
      <c r="G19" s="128"/>
      <c r="H19" s="271"/>
    </row>
    <row r="20" spans="1:8" ht="14.25" customHeight="1">
      <c r="A20" s="244">
        <v>4</v>
      </c>
      <c r="B20" s="245" t="str">
        <f>Planilha!C36</f>
        <v>ESQUADRIAS</v>
      </c>
      <c r="C20" s="124" t="s">
        <v>35</v>
      </c>
      <c r="D20" s="126">
        <f>D21/D41</f>
        <v>0.07419492398181395</v>
      </c>
      <c r="E20" s="126"/>
      <c r="F20" s="127"/>
      <c r="G20" s="126">
        <v>1</v>
      </c>
      <c r="H20" s="270"/>
    </row>
    <row r="21" spans="1:8" ht="14.25" customHeight="1">
      <c r="A21" s="244"/>
      <c r="B21" s="245"/>
      <c r="C21" s="124" t="s">
        <v>36</v>
      </c>
      <c r="D21" s="128">
        <f>Planilha!H36</f>
        <v>15399.826000000001</v>
      </c>
      <c r="E21" s="128"/>
      <c r="F21" s="128"/>
      <c r="G21" s="128">
        <f>G20*D21</f>
        <v>15399.826000000001</v>
      </c>
      <c r="H21" s="271"/>
    </row>
    <row r="22" spans="1:8" ht="14.25" customHeight="1">
      <c r="A22" s="244">
        <v>5</v>
      </c>
      <c r="B22" s="245" t="str">
        <f>Planilha!C42</f>
        <v>COBERTURA</v>
      </c>
      <c r="C22" s="124" t="s">
        <v>35</v>
      </c>
      <c r="D22" s="126">
        <f>D23/D41</f>
        <v>0.07845487656487289</v>
      </c>
      <c r="E22" s="126"/>
      <c r="F22" s="126"/>
      <c r="G22" s="126">
        <v>1</v>
      </c>
      <c r="H22" s="270"/>
    </row>
    <row r="23" spans="1:8" ht="14.25" customHeight="1">
      <c r="A23" s="244"/>
      <c r="B23" s="245"/>
      <c r="C23" s="124" t="s">
        <v>36</v>
      </c>
      <c r="D23" s="128">
        <f>Planilha!H42</f>
        <v>16284.0176</v>
      </c>
      <c r="E23" s="128"/>
      <c r="F23" s="128"/>
      <c r="G23" s="128">
        <f>G22*D23</f>
        <v>16284.0176</v>
      </c>
      <c r="H23" s="271"/>
    </row>
    <row r="24" spans="1:8" ht="14.25" customHeight="1" hidden="1">
      <c r="A24" s="244">
        <v>6</v>
      </c>
      <c r="B24" s="161" t="s">
        <v>330</v>
      </c>
      <c r="C24" s="124" t="s">
        <v>35</v>
      </c>
      <c r="D24" s="126"/>
      <c r="E24" s="126"/>
      <c r="F24" s="126"/>
      <c r="G24" s="126"/>
      <c r="H24" s="270"/>
    </row>
    <row r="25" spans="1:8" ht="14.25" customHeight="1" hidden="1">
      <c r="A25" s="244"/>
      <c r="B25" s="161" t="s">
        <v>329</v>
      </c>
      <c r="C25" s="124" t="s">
        <v>36</v>
      </c>
      <c r="D25" s="128"/>
      <c r="E25" s="128"/>
      <c r="F25" s="128"/>
      <c r="G25" s="128"/>
      <c r="H25" s="271"/>
    </row>
    <row r="26" spans="1:8" ht="14.25" customHeight="1">
      <c r="A26" s="244">
        <v>6</v>
      </c>
      <c r="B26" s="245" t="str">
        <f>Planilha!C49</f>
        <v>REVESTIMENTOS </v>
      </c>
      <c r="C26" s="124" t="s">
        <v>35</v>
      </c>
      <c r="D26" s="126">
        <f>D27/D41</f>
        <v>0.18262834439933984</v>
      </c>
      <c r="E26" s="126"/>
      <c r="F26" s="126"/>
      <c r="G26" s="126">
        <v>0.5</v>
      </c>
      <c r="H26" s="270">
        <v>0.5</v>
      </c>
    </row>
    <row r="27" spans="1:8" ht="14.25" customHeight="1">
      <c r="A27" s="244"/>
      <c r="B27" s="245"/>
      <c r="C27" s="124" t="s">
        <v>36</v>
      </c>
      <c r="D27" s="136">
        <f>Planilha!H49</f>
        <v>37906.1609</v>
      </c>
      <c r="E27" s="136"/>
      <c r="F27" s="136"/>
      <c r="G27" s="136">
        <f>G26*D27</f>
        <v>18953.08045</v>
      </c>
      <c r="H27" s="272">
        <f>H26*D27</f>
        <v>18953.08045</v>
      </c>
    </row>
    <row r="28" spans="1:8" ht="14.25" customHeight="1">
      <c r="A28" s="244">
        <v>7</v>
      </c>
      <c r="B28" s="245" t="str">
        <f>Planilha!C55</f>
        <v>PISO</v>
      </c>
      <c r="C28" s="124" t="s">
        <v>35</v>
      </c>
      <c r="D28" s="126">
        <f>D29/D41</f>
        <v>0.08013874939021623</v>
      </c>
      <c r="E28" s="126"/>
      <c r="F28" s="126"/>
      <c r="G28" s="126">
        <v>0.5</v>
      </c>
      <c r="H28" s="143">
        <v>0.5</v>
      </c>
    </row>
    <row r="29" spans="1:8" ht="14.25" customHeight="1">
      <c r="A29" s="244"/>
      <c r="B29" s="245"/>
      <c r="C29" s="124" t="s">
        <v>36</v>
      </c>
      <c r="D29" s="137">
        <f>Planilha!H55</f>
        <v>16633.5206</v>
      </c>
      <c r="E29" s="137"/>
      <c r="F29" s="137"/>
      <c r="G29" s="137">
        <f>G28*D29</f>
        <v>8316.7603</v>
      </c>
      <c r="H29" s="273">
        <f>H28*D29</f>
        <v>8316.7603</v>
      </c>
    </row>
    <row r="30" spans="1:8" ht="14.25" customHeight="1">
      <c r="A30" s="244">
        <v>8</v>
      </c>
      <c r="B30" s="245" t="str">
        <f>Planilha!C59</f>
        <v>PINTURA</v>
      </c>
      <c r="C30" s="124" t="s">
        <v>35</v>
      </c>
      <c r="D30" s="126">
        <f>D31/D41</f>
        <v>0.0947173682483289</v>
      </c>
      <c r="E30" s="126"/>
      <c r="F30" s="126"/>
      <c r="G30" s="126"/>
      <c r="H30" s="270">
        <v>1</v>
      </c>
    </row>
    <row r="31" spans="1:8" ht="14.25" customHeight="1">
      <c r="A31" s="244"/>
      <c r="B31" s="245"/>
      <c r="C31" s="124" t="s">
        <v>36</v>
      </c>
      <c r="D31" s="128">
        <f>Planilha!H59</f>
        <v>19659.444499999994</v>
      </c>
      <c r="E31" s="128"/>
      <c r="F31" s="128"/>
      <c r="G31" s="128"/>
      <c r="H31" s="271">
        <f>H30*D31</f>
        <v>19659.444499999994</v>
      </c>
    </row>
    <row r="32" spans="1:8" ht="12.75">
      <c r="A32" s="244">
        <v>9</v>
      </c>
      <c r="B32" s="245" t="str">
        <f>Planilha!C69</f>
        <v>INSTALAÇÕES HIDROSSANITÁRIAS</v>
      </c>
      <c r="C32" s="124" t="s">
        <v>35</v>
      </c>
      <c r="D32" s="126">
        <f>D33/D41</f>
        <v>0.019764402062212635</v>
      </c>
      <c r="E32" s="126"/>
      <c r="F32" s="126"/>
      <c r="G32" s="126">
        <v>1</v>
      </c>
      <c r="H32" s="270"/>
    </row>
    <row r="33" spans="1:8" ht="12.75">
      <c r="A33" s="244"/>
      <c r="B33" s="245"/>
      <c r="C33" s="124" t="s">
        <v>36</v>
      </c>
      <c r="D33" s="128">
        <f>Planilha!H69</f>
        <v>4102.280000000001</v>
      </c>
      <c r="E33" s="128"/>
      <c r="F33" s="128"/>
      <c r="G33" s="128">
        <f>G32*D33</f>
        <v>4102.280000000001</v>
      </c>
      <c r="H33" s="271"/>
    </row>
    <row r="34" spans="1:8" ht="12.75">
      <c r="A34" s="244">
        <v>10</v>
      </c>
      <c r="B34" s="245" t="str">
        <f>Planilha!C75</f>
        <v>LOUÇAS, BANCADAS, ACESSÓRIOS E METAIS</v>
      </c>
      <c r="C34" s="124" t="s">
        <v>35</v>
      </c>
      <c r="D34" s="126">
        <f>D35/D41</f>
        <v>0.027644972944006987</v>
      </c>
      <c r="E34" s="126"/>
      <c r="F34" s="126"/>
      <c r="G34" s="126"/>
      <c r="H34" s="270">
        <v>1</v>
      </c>
    </row>
    <row r="35" spans="1:8" ht="12.75">
      <c r="A35" s="244"/>
      <c r="B35" s="245"/>
      <c r="C35" s="124" t="s">
        <v>36</v>
      </c>
      <c r="D35" s="128">
        <f>Planilha!H75</f>
        <v>5737.963599999999</v>
      </c>
      <c r="E35" s="128"/>
      <c r="F35" s="128"/>
      <c r="G35" s="128"/>
      <c r="H35" s="271">
        <f>H34*D35</f>
        <v>5737.963599999999</v>
      </c>
    </row>
    <row r="36" spans="1:8" ht="12.75">
      <c r="A36" s="244">
        <v>11</v>
      </c>
      <c r="B36" s="245" t="str">
        <f>Planilha!C83</f>
        <v>INSTALAÇÕES ELÉTRICAS</v>
      </c>
      <c r="C36" s="124" t="s">
        <v>35</v>
      </c>
      <c r="D36" s="126">
        <f>D37/D41</f>
        <v>0.04757403371080316</v>
      </c>
      <c r="E36" s="126"/>
      <c r="F36" s="126"/>
      <c r="G36" s="126">
        <v>1</v>
      </c>
      <c r="H36" s="270"/>
    </row>
    <row r="37" spans="1:8" ht="12.75">
      <c r="A37" s="244"/>
      <c r="B37" s="245"/>
      <c r="C37" s="124" t="s">
        <v>36</v>
      </c>
      <c r="D37" s="128">
        <f>Planilha!H83</f>
        <v>9874.419999999998</v>
      </c>
      <c r="E37" s="128"/>
      <c r="F37" s="128"/>
      <c r="G37" s="128">
        <f>G36*D37</f>
        <v>9874.419999999998</v>
      </c>
      <c r="H37" s="271"/>
    </row>
    <row r="38" spans="1:8" ht="12.75">
      <c r="A38" s="244">
        <v>12</v>
      </c>
      <c r="B38" s="245" t="str">
        <f>Planilha!C93</f>
        <v>ÁREA EXTERNA</v>
      </c>
      <c r="C38" s="124" t="s">
        <v>35</v>
      </c>
      <c r="D38" s="126">
        <f>D39/D41</f>
        <v>0.05726341826374334</v>
      </c>
      <c r="E38" s="126"/>
      <c r="F38" s="126"/>
      <c r="G38" s="126"/>
      <c r="H38" s="270">
        <v>1</v>
      </c>
    </row>
    <row r="39" spans="1:8" ht="12.75">
      <c r="A39" s="244"/>
      <c r="B39" s="245"/>
      <c r="C39" s="124" t="s">
        <v>36</v>
      </c>
      <c r="D39" s="128">
        <f>Planilha!H93</f>
        <v>11885.5392</v>
      </c>
      <c r="E39" s="128"/>
      <c r="F39" s="128"/>
      <c r="G39" s="128"/>
      <c r="H39" s="271">
        <f>H38*D39</f>
        <v>11885.5392</v>
      </c>
    </row>
    <row r="40" spans="1:10" ht="14.25" customHeight="1">
      <c r="A40" s="257" t="s">
        <v>37</v>
      </c>
      <c r="B40" s="258"/>
      <c r="C40" s="130" t="s">
        <v>35</v>
      </c>
      <c r="D40" s="125">
        <f>SUM(D6+D16+D18+D20+D22+D26+D28+D30+D32+D34+D36+D38)</f>
        <v>1.0000000000000002</v>
      </c>
      <c r="E40" s="125">
        <f>E41/D41</f>
        <v>0.13728767810032086</v>
      </c>
      <c r="F40" s="125">
        <f>F41/D41</f>
        <v>0.20033123233434136</v>
      </c>
      <c r="G40" s="125">
        <f>G41/D41</f>
        <v>0.3513717832144807</v>
      </c>
      <c r="H40" s="274">
        <f>H41/D41</f>
        <v>0.3110093063508573</v>
      </c>
      <c r="J40" s="275"/>
    </row>
    <row r="41" spans="1:10" ht="13.5" customHeight="1" thickBot="1">
      <c r="A41" s="259"/>
      <c r="B41" s="260"/>
      <c r="C41" s="132" t="s">
        <v>36</v>
      </c>
      <c r="D41" s="133">
        <f>SUM(D7+D17+D19+D21+D23+D27+D29+D31+D33+D35+D37+D39)</f>
        <v>207559.02389999997</v>
      </c>
      <c r="E41" s="133">
        <f>E17+E7+E19+E21+E23+E27+E29+E31+E33+E35+E37+E39</f>
        <v>28495.29646</v>
      </c>
      <c r="F41" s="133">
        <f>F17+F7+F19+F21+F23+F27+F29+F31+F33+F35+F37+F39</f>
        <v>41580.55504000001</v>
      </c>
      <c r="G41" s="133">
        <f>G17+G7+G19+G21+G23+G27+G29+G31+G33+G35+G37+G39</f>
        <v>72930.38435000001</v>
      </c>
      <c r="H41" s="133">
        <f>H17+H7+H19+H21+H23+H27+H29+H31+H33+H35+H37+H39</f>
        <v>64552.78805</v>
      </c>
      <c r="J41" s="276"/>
    </row>
    <row r="42" spans="1:8" ht="13.5" customHeight="1">
      <c r="A42" s="120"/>
      <c r="B42" s="120"/>
      <c r="C42" s="120"/>
      <c r="D42" s="120"/>
      <c r="E42" s="120"/>
      <c r="F42" s="120"/>
      <c r="G42" s="120"/>
      <c r="H42" s="120"/>
    </row>
    <row r="43" spans="1:8" ht="13.5" customHeight="1">
      <c r="A43" s="120"/>
      <c r="B43" s="120"/>
      <c r="C43" s="120"/>
      <c r="D43" s="120"/>
      <c r="E43" s="120"/>
      <c r="F43" s="120"/>
      <c r="G43" s="120"/>
      <c r="H43" s="120"/>
    </row>
    <row r="44" spans="1:8" ht="13.5" customHeight="1">
      <c r="A44" s="120"/>
      <c r="B44" s="232"/>
      <c r="C44" s="232"/>
      <c r="D44" s="120"/>
      <c r="E44" s="232" t="s">
        <v>462</v>
      </c>
      <c r="F44" s="232"/>
      <c r="G44" s="121"/>
      <c r="H44" s="120"/>
    </row>
    <row r="45" spans="1:8" ht="12.75">
      <c r="A45" s="6"/>
      <c r="B45" s="177" t="s">
        <v>460</v>
      </c>
      <c r="C45" s="177"/>
      <c r="D45" s="6"/>
      <c r="E45" s="178" t="s">
        <v>461</v>
      </c>
      <c r="F45" s="178"/>
      <c r="G45" s="9"/>
      <c r="H45" s="6"/>
    </row>
    <row r="46" spans="1:8" ht="12.75">
      <c r="A46" s="118"/>
      <c r="B46" s="118"/>
      <c r="C46" s="118"/>
      <c r="D46" s="118"/>
      <c r="E46" s="118"/>
      <c r="F46" s="118"/>
      <c r="G46" s="118"/>
      <c r="H46" s="118"/>
    </row>
    <row r="47" spans="1:8" ht="12.75">
      <c r="A47" s="118"/>
      <c r="B47" s="118"/>
      <c r="C47" s="118"/>
      <c r="D47" s="118"/>
      <c r="E47" s="118"/>
      <c r="F47" s="118"/>
      <c r="G47" s="118"/>
      <c r="H47" s="118"/>
    </row>
    <row r="48" spans="1:8" ht="12.75">
      <c r="A48" s="120"/>
      <c r="B48" s="232"/>
      <c r="C48" s="232"/>
      <c r="D48" s="120"/>
      <c r="E48" s="231"/>
      <c r="F48" s="231"/>
      <c r="G48" s="121"/>
      <c r="H48" s="120"/>
    </row>
    <row r="49" spans="1:8" ht="12.75">
      <c r="A49" s="6"/>
      <c r="B49" s="177" t="s">
        <v>325</v>
      </c>
      <c r="C49" s="177"/>
      <c r="D49" s="6"/>
      <c r="E49" s="178"/>
      <c r="F49" s="178"/>
      <c r="G49" s="9"/>
      <c r="H49" s="6"/>
    </row>
  </sheetData>
  <sheetProtection/>
  <mergeCells count="43">
    <mergeCell ref="A3:B4"/>
    <mergeCell ref="C3:D4"/>
    <mergeCell ref="B6:B7"/>
    <mergeCell ref="A32:A33"/>
    <mergeCell ref="A36:A37"/>
    <mergeCell ref="B36:B37"/>
    <mergeCell ref="A18:A19"/>
    <mergeCell ref="A12:A13"/>
    <mergeCell ref="A8:A9"/>
    <mergeCell ref="A6:A7"/>
    <mergeCell ref="B44:C44"/>
    <mergeCell ref="E44:F44"/>
    <mergeCell ref="B22:B23"/>
    <mergeCell ref="B30:B31"/>
    <mergeCell ref="B49:C49"/>
    <mergeCell ref="E49:F49"/>
    <mergeCell ref="B48:C48"/>
    <mergeCell ref="A40:B41"/>
    <mergeCell ref="B45:C45"/>
    <mergeCell ref="A26:A27"/>
    <mergeCell ref="E45:F45"/>
    <mergeCell ref="B32:B33"/>
    <mergeCell ref="B16:B17"/>
    <mergeCell ref="B26:B27"/>
    <mergeCell ref="B28:B29"/>
    <mergeCell ref="A28:A29"/>
    <mergeCell ref="B18:B19"/>
    <mergeCell ref="B34:B35"/>
    <mergeCell ref="E48:F48"/>
    <mergeCell ref="A24:A25"/>
    <mergeCell ref="B20:B21"/>
    <mergeCell ref="A16:A17"/>
    <mergeCell ref="A22:A23"/>
    <mergeCell ref="A1:H1"/>
    <mergeCell ref="A2:H2"/>
    <mergeCell ref="E3:H4"/>
    <mergeCell ref="A34:A35"/>
    <mergeCell ref="A14:A15"/>
    <mergeCell ref="A30:A31"/>
    <mergeCell ref="A10:A11"/>
    <mergeCell ref="A20:A21"/>
    <mergeCell ref="A38:A39"/>
    <mergeCell ref="B38:B39"/>
  </mergeCells>
  <printOptions horizontalCentered="1"/>
  <pageMargins left="0.3937007874015748" right="0.3937007874015748" top="0.5905511811023623" bottom="0.1968503937007874" header="0.1968503937007874" footer="0"/>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A1:P86"/>
  <sheetViews>
    <sheetView zoomScale="85" zoomScaleNormal="85" zoomScalePageLayoutView="0" workbookViewId="0" topLeftCell="A70">
      <selection activeCell="C62" sqref="C62:D62"/>
    </sheetView>
  </sheetViews>
  <sheetFormatPr defaultColWidth="9.140625" defaultRowHeight="12.75"/>
  <cols>
    <col min="1" max="1" width="7.8515625" style="0" customWidth="1"/>
    <col min="2" max="2" width="12.7109375" style="0" customWidth="1"/>
    <col min="3" max="3" width="72.28125" style="0" customWidth="1"/>
    <col min="4" max="4" width="7.7109375" style="0" customWidth="1"/>
    <col min="5" max="5" width="9.140625" style="0" hidden="1" customWidth="1"/>
    <col min="7" max="7" width="14.421875" style="0" customWidth="1"/>
    <col min="8" max="8" width="14.421875" style="76" customWidth="1"/>
    <col min="9" max="9" width="14.421875" style="77" customWidth="1"/>
    <col min="10" max="10" width="13.00390625" style="0" customWidth="1"/>
    <col min="11" max="11" width="12.57421875" style="0" customWidth="1"/>
    <col min="12" max="12" width="13.00390625" style="0" customWidth="1"/>
    <col min="13" max="13" width="12.00390625" style="0" bestFit="1" customWidth="1"/>
    <col min="14" max="14" width="13.140625" style="0" bestFit="1" customWidth="1"/>
  </cols>
  <sheetData>
    <row r="1" spans="1:12" ht="12.75">
      <c r="A1" s="223" t="s">
        <v>140</v>
      </c>
      <c r="B1" s="223"/>
      <c r="C1" s="223"/>
      <c r="D1" s="223"/>
      <c r="E1" s="223"/>
      <c r="F1" s="223"/>
      <c r="G1" s="223"/>
      <c r="H1" s="223"/>
      <c r="I1" s="223"/>
      <c r="J1" s="223"/>
      <c r="K1" s="223"/>
      <c r="L1" s="223"/>
    </row>
    <row r="2" spans="1:12" ht="12.75">
      <c r="A2" s="225" t="s">
        <v>141</v>
      </c>
      <c r="B2" s="225"/>
      <c r="C2" s="225"/>
      <c r="D2" s="225"/>
      <c r="E2" s="225"/>
      <c r="F2" s="225"/>
      <c r="G2" s="225" t="s">
        <v>142</v>
      </c>
      <c r="H2" s="225"/>
      <c r="I2" s="225"/>
      <c r="J2" s="225"/>
      <c r="K2" s="225"/>
      <c r="L2" s="225"/>
    </row>
    <row r="3" spans="1:12" ht="12.75">
      <c r="A3" s="224" t="s">
        <v>143</v>
      </c>
      <c r="B3" s="224"/>
      <c r="C3" s="224"/>
      <c r="D3" s="224"/>
      <c r="E3" s="224"/>
      <c r="F3" s="224"/>
      <c r="G3" s="216" t="s">
        <v>144</v>
      </c>
      <c r="H3" s="216"/>
      <c r="I3" s="216"/>
      <c r="J3" s="216"/>
      <c r="K3" s="216"/>
      <c r="L3" s="216"/>
    </row>
    <row r="4" spans="1:12" ht="12.75">
      <c r="A4" s="79" t="s">
        <v>145</v>
      </c>
      <c r="B4" s="79"/>
      <c r="C4" s="79"/>
      <c r="D4" s="216" t="s">
        <v>146</v>
      </c>
      <c r="E4" s="216"/>
      <c r="F4" s="216"/>
      <c r="G4" s="216"/>
      <c r="H4" s="216"/>
      <c r="I4" s="216"/>
      <c r="J4" s="216"/>
      <c r="K4" s="216"/>
      <c r="L4" s="216"/>
    </row>
    <row r="5" spans="1:12" ht="12.75">
      <c r="A5" s="79" t="s">
        <v>147</v>
      </c>
      <c r="B5" s="79"/>
      <c r="C5" s="80"/>
      <c r="D5" s="217" t="s">
        <v>148</v>
      </c>
      <c r="E5" s="217"/>
      <c r="F5" s="217"/>
      <c r="G5" s="217"/>
      <c r="H5" s="217"/>
      <c r="I5" s="217"/>
      <c r="J5" s="217"/>
      <c r="K5" s="223" t="s">
        <v>149</v>
      </c>
      <c r="L5" s="223"/>
    </row>
    <row r="6" spans="1:12" ht="12.75">
      <c r="A6" s="79" t="s">
        <v>150</v>
      </c>
      <c r="B6" s="79"/>
      <c r="C6" s="80"/>
      <c r="D6" s="217"/>
      <c r="E6" s="217"/>
      <c r="F6" s="217"/>
      <c r="G6" s="217"/>
      <c r="H6" s="217"/>
      <c r="I6" s="217"/>
      <c r="J6" s="217"/>
      <c r="K6" s="224" t="s">
        <v>151</v>
      </c>
      <c r="L6" s="224"/>
    </row>
    <row r="7" spans="1:12" ht="45" customHeight="1">
      <c r="A7" s="78" t="s">
        <v>0</v>
      </c>
      <c r="B7" s="78" t="s">
        <v>5</v>
      </c>
      <c r="C7" s="223" t="s">
        <v>152</v>
      </c>
      <c r="D7" s="223"/>
      <c r="E7" s="223"/>
      <c r="F7" s="82" t="s">
        <v>3</v>
      </c>
      <c r="G7" s="78" t="s">
        <v>2</v>
      </c>
      <c r="H7" s="83" t="s">
        <v>320</v>
      </c>
      <c r="I7" s="84" t="s">
        <v>321</v>
      </c>
      <c r="J7" s="85" t="s">
        <v>153</v>
      </c>
      <c r="K7" s="86" t="s">
        <v>154</v>
      </c>
      <c r="L7" s="78" t="s">
        <v>10</v>
      </c>
    </row>
    <row r="8" spans="1:12" s="109" customFormat="1" ht="12.75">
      <c r="A8" s="104">
        <v>1</v>
      </c>
      <c r="B8" s="105"/>
      <c r="C8" s="263" t="s">
        <v>155</v>
      </c>
      <c r="D8" s="263"/>
      <c r="E8" s="263"/>
      <c r="F8" s="105"/>
      <c r="G8" s="106"/>
      <c r="H8" s="106"/>
      <c r="I8" s="106"/>
      <c r="J8" s="106"/>
      <c r="K8" s="106"/>
      <c r="L8" s="108"/>
    </row>
    <row r="9" spans="1:12" ht="12.75">
      <c r="A9" s="78" t="s">
        <v>16</v>
      </c>
      <c r="B9" s="80"/>
      <c r="C9" s="220" t="s">
        <v>156</v>
      </c>
      <c r="D9" s="220"/>
      <c r="E9" s="220"/>
      <c r="F9" s="80"/>
      <c r="G9" s="81"/>
      <c r="H9" s="87"/>
      <c r="I9" s="88"/>
      <c r="J9" s="81"/>
      <c r="K9" s="81"/>
      <c r="L9" s="81"/>
    </row>
    <row r="10" spans="1:12" ht="12.75">
      <c r="A10" s="78" t="s">
        <v>157</v>
      </c>
      <c r="B10" s="80" t="s">
        <v>158</v>
      </c>
      <c r="C10" s="220" t="s">
        <v>159</v>
      </c>
      <c r="D10" s="220"/>
      <c r="E10" s="220"/>
      <c r="F10" s="81" t="s">
        <v>160</v>
      </c>
      <c r="G10" s="81">
        <v>15</v>
      </c>
      <c r="H10" s="87">
        <f>15</f>
        <v>15</v>
      </c>
      <c r="I10" s="88">
        <f>G10-H10</f>
        <v>0</v>
      </c>
      <c r="J10" s="81">
        <v>271.23</v>
      </c>
      <c r="K10" s="90">
        <f>(J10*0.26)+J10</f>
        <v>341.74980000000005</v>
      </c>
      <c r="L10" s="89">
        <f>G10*K10</f>
        <v>5126.247000000001</v>
      </c>
    </row>
    <row r="11" spans="1:12" ht="30.75" customHeight="1">
      <c r="A11" s="78" t="s">
        <v>161</v>
      </c>
      <c r="B11" s="80" t="s">
        <v>162</v>
      </c>
      <c r="C11" s="219" t="s">
        <v>163</v>
      </c>
      <c r="D11" s="219"/>
      <c r="E11" s="219"/>
      <c r="F11" s="81" t="s">
        <v>164</v>
      </c>
      <c r="G11" s="81">
        <v>1</v>
      </c>
      <c r="H11" s="87">
        <f>1</f>
        <v>1</v>
      </c>
      <c r="I11" s="88">
        <f aca="true" t="shared" si="0" ref="I11:I74">G11-H11</f>
        <v>0</v>
      </c>
      <c r="J11" s="81">
        <v>723.45</v>
      </c>
      <c r="K11" s="90">
        <f aca="true" t="shared" si="1" ref="K11:K74">(J11*0.26)+J11</f>
        <v>911.547</v>
      </c>
      <c r="L11" s="89">
        <f aca="true" t="shared" si="2" ref="L11:L74">G11*K11</f>
        <v>911.547</v>
      </c>
    </row>
    <row r="12" spans="1:12" ht="12.75">
      <c r="A12" s="78" t="s">
        <v>165</v>
      </c>
      <c r="B12" s="80" t="s">
        <v>166</v>
      </c>
      <c r="C12" s="220" t="s">
        <v>167</v>
      </c>
      <c r="D12" s="220"/>
      <c r="E12" s="220"/>
      <c r="F12" s="81" t="s">
        <v>164</v>
      </c>
      <c r="G12" s="81">
        <v>1</v>
      </c>
      <c r="H12" s="87">
        <f>1</f>
        <v>1</v>
      </c>
      <c r="I12" s="88">
        <f t="shared" si="0"/>
        <v>0</v>
      </c>
      <c r="J12" s="81">
        <v>867.55</v>
      </c>
      <c r="K12" s="90">
        <f t="shared" si="1"/>
        <v>1093.1129999999998</v>
      </c>
      <c r="L12" s="89">
        <f t="shared" si="2"/>
        <v>1093.1129999999998</v>
      </c>
    </row>
    <row r="13" spans="1:12" ht="12.75">
      <c r="A13" s="78" t="s">
        <v>168</v>
      </c>
      <c r="B13" s="80" t="s">
        <v>169</v>
      </c>
      <c r="C13" s="220" t="s">
        <v>170</v>
      </c>
      <c r="D13" s="220"/>
      <c r="E13" s="220"/>
      <c r="F13" s="81" t="s">
        <v>164</v>
      </c>
      <c r="G13" s="81">
        <v>1</v>
      </c>
      <c r="H13" s="87">
        <f>1</f>
        <v>1</v>
      </c>
      <c r="I13" s="88">
        <f t="shared" si="0"/>
        <v>0</v>
      </c>
      <c r="J13" s="81">
        <v>398.25</v>
      </c>
      <c r="K13" s="90">
        <f t="shared" si="1"/>
        <v>501.795</v>
      </c>
      <c r="L13" s="89">
        <f t="shared" si="2"/>
        <v>501.795</v>
      </c>
    </row>
    <row r="14" spans="1:12" ht="12.75">
      <c r="A14" s="78"/>
      <c r="B14" s="80"/>
      <c r="C14" s="220"/>
      <c r="D14" s="220"/>
      <c r="E14" s="80"/>
      <c r="F14" s="81"/>
      <c r="G14" s="81"/>
      <c r="H14" s="87"/>
      <c r="I14" s="88">
        <f t="shared" si="0"/>
        <v>0</v>
      </c>
      <c r="J14" s="81"/>
      <c r="K14" s="90"/>
      <c r="L14" s="89"/>
    </row>
    <row r="15" spans="1:12" s="56" customFormat="1" ht="12.75">
      <c r="A15" s="94">
        <v>2</v>
      </c>
      <c r="B15" s="95"/>
      <c r="C15" s="222" t="s">
        <v>171</v>
      </c>
      <c r="D15" s="222"/>
      <c r="E15" s="95"/>
      <c r="F15" s="96"/>
      <c r="G15" s="96"/>
      <c r="H15" s="97"/>
      <c r="I15" s="98">
        <f t="shared" si="0"/>
        <v>0</v>
      </c>
      <c r="J15" s="96"/>
      <c r="K15" s="100"/>
      <c r="L15" s="99"/>
    </row>
    <row r="16" spans="1:12" ht="12.75">
      <c r="A16" s="78" t="s">
        <v>19</v>
      </c>
      <c r="B16" s="80"/>
      <c r="C16" s="220" t="s">
        <v>17</v>
      </c>
      <c r="D16" s="220"/>
      <c r="E16" s="80"/>
      <c r="F16" s="81"/>
      <c r="G16" s="81"/>
      <c r="H16" s="87"/>
      <c r="I16" s="88">
        <f t="shared" si="0"/>
        <v>0</v>
      </c>
      <c r="J16" s="81"/>
      <c r="K16" s="90"/>
      <c r="L16" s="89"/>
    </row>
    <row r="17" spans="1:12" ht="30" customHeight="1">
      <c r="A17" s="78" t="s">
        <v>70</v>
      </c>
      <c r="B17" s="80" t="s">
        <v>172</v>
      </c>
      <c r="C17" s="219" t="s">
        <v>173</v>
      </c>
      <c r="D17" s="219"/>
      <c r="E17" s="80"/>
      <c r="F17" s="81" t="s">
        <v>160</v>
      </c>
      <c r="G17" s="91">
        <v>2404.42</v>
      </c>
      <c r="H17" s="92">
        <f>2404.42</f>
        <v>2404.42</v>
      </c>
      <c r="I17" s="88">
        <f t="shared" si="0"/>
        <v>0</v>
      </c>
      <c r="J17" s="81">
        <v>5.61</v>
      </c>
      <c r="K17" s="90">
        <f t="shared" si="1"/>
        <v>7.0686</v>
      </c>
      <c r="L17" s="89">
        <f t="shared" si="2"/>
        <v>16995.883212</v>
      </c>
    </row>
    <row r="18" spans="1:12" ht="12.75">
      <c r="A18" s="78"/>
      <c r="B18" s="80"/>
      <c r="C18" s="220"/>
      <c r="D18" s="220"/>
      <c r="E18" s="80"/>
      <c r="F18" s="81"/>
      <c r="G18" s="81"/>
      <c r="H18" s="87"/>
      <c r="I18" s="88">
        <f t="shared" si="0"/>
        <v>0</v>
      </c>
      <c r="J18" s="81"/>
      <c r="K18" s="90"/>
      <c r="L18" s="89"/>
    </row>
    <row r="19" spans="1:12" s="109" customFormat="1" ht="12.75">
      <c r="A19" s="110">
        <v>3</v>
      </c>
      <c r="B19" s="105"/>
      <c r="C19" s="264" t="s">
        <v>116</v>
      </c>
      <c r="D19" s="264"/>
      <c r="E19" s="105"/>
      <c r="F19" s="106"/>
      <c r="G19" s="106"/>
      <c r="H19" s="106"/>
      <c r="I19" s="106">
        <f t="shared" si="0"/>
        <v>0</v>
      </c>
      <c r="J19" s="106"/>
      <c r="K19" s="107"/>
      <c r="L19" s="108"/>
    </row>
    <row r="20" spans="1:12" ht="12.75">
      <c r="A20" s="78" t="s">
        <v>22</v>
      </c>
      <c r="B20" s="80"/>
      <c r="C20" s="220" t="s">
        <v>174</v>
      </c>
      <c r="D20" s="220"/>
      <c r="E20" s="80"/>
      <c r="F20" s="81"/>
      <c r="G20" s="81"/>
      <c r="H20" s="87"/>
      <c r="I20" s="88">
        <f t="shared" si="0"/>
        <v>0</v>
      </c>
      <c r="J20" s="81"/>
      <c r="K20" s="90"/>
      <c r="L20" s="89"/>
    </row>
    <row r="21" spans="1:12" ht="30.75" customHeight="1">
      <c r="A21" s="78" t="s">
        <v>72</v>
      </c>
      <c r="B21" s="80" t="s">
        <v>175</v>
      </c>
      <c r="C21" s="219" t="s">
        <v>176</v>
      </c>
      <c r="D21" s="219"/>
      <c r="E21" s="80"/>
      <c r="F21" s="81" t="s">
        <v>160</v>
      </c>
      <c r="G21" s="91">
        <v>1326.61</v>
      </c>
      <c r="H21" s="92"/>
      <c r="I21" s="88">
        <f t="shared" si="0"/>
        <v>1326.61</v>
      </c>
      <c r="J21" s="81">
        <v>12.79</v>
      </c>
      <c r="K21" s="90">
        <f t="shared" si="1"/>
        <v>16.115399999999998</v>
      </c>
      <c r="L21" s="89">
        <f t="shared" si="2"/>
        <v>21378.850793999994</v>
      </c>
    </row>
    <row r="22" spans="1:12" ht="30.75" customHeight="1">
      <c r="A22" s="78" t="s">
        <v>73</v>
      </c>
      <c r="B22" s="80" t="s">
        <v>177</v>
      </c>
      <c r="C22" s="219" t="s">
        <v>178</v>
      </c>
      <c r="D22" s="219"/>
      <c r="E22" s="80"/>
      <c r="F22" s="81" t="s">
        <v>164</v>
      </c>
      <c r="G22" s="81">
        <v>72</v>
      </c>
      <c r="H22" s="87"/>
      <c r="I22" s="88">
        <f t="shared" si="0"/>
        <v>72</v>
      </c>
      <c r="J22" s="81">
        <v>5.47</v>
      </c>
      <c r="K22" s="90">
        <f t="shared" si="1"/>
        <v>6.8922</v>
      </c>
      <c r="L22" s="89">
        <f t="shared" si="2"/>
        <v>496.2384</v>
      </c>
    </row>
    <row r="23" spans="1:12" ht="12.75">
      <c r="A23" s="78" t="s">
        <v>74</v>
      </c>
      <c r="B23" s="80" t="s">
        <v>179</v>
      </c>
      <c r="C23" s="220" t="s">
        <v>180</v>
      </c>
      <c r="D23" s="220"/>
      <c r="E23" s="80"/>
      <c r="F23" s="81" t="s">
        <v>164</v>
      </c>
      <c r="G23" s="81">
        <v>32</v>
      </c>
      <c r="H23" s="87"/>
      <c r="I23" s="88">
        <f t="shared" si="0"/>
        <v>32</v>
      </c>
      <c r="J23" s="81">
        <v>14.01</v>
      </c>
      <c r="K23" s="90">
        <f t="shared" si="1"/>
        <v>17.6526</v>
      </c>
      <c r="L23" s="89">
        <f t="shared" si="2"/>
        <v>564.8832</v>
      </c>
    </row>
    <row r="24" spans="1:12" ht="12.75">
      <c r="A24" s="78" t="s">
        <v>181</v>
      </c>
      <c r="B24" s="80" t="s">
        <v>179</v>
      </c>
      <c r="C24" s="220" t="s">
        <v>182</v>
      </c>
      <c r="D24" s="220"/>
      <c r="E24" s="80"/>
      <c r="F24" s="81" t="s">
        <v>164</v>
      </c>
      <c r="G24" s="81">
        <v>27</v>
      </c>
      <c r="H24" s="87"/>
      <c r="I24" s="88">
        <f t="shared" si="0"/>
        <v>27</v>
      </c>
      <c r="J24" s="81">
        <v>17.42</v>
      </c>
      <c r="K24" s="90">
        <f t="shared" si="1"/>
        <v>21.9492</v>
      </c>
      <c r="L24" s="89">
        <f t="shared" si="2"/>
        <v>592.6284</v>
      </c>
    </row>
    <row r="25" spans="1:12" ht="12.75">
      <c r="A25" s="78" t="s">
        <v>183</v>
      </c>
      <c r="B25" s="80" t="s">
        <v>184</v>
      </c>
      <c r="C25" s="220" t="s">
        <v>185</v>
      </c>
      <c r="D25" s="220"/>
      <c r="E25" s="80"/>
      <c r="F25" s="81" t="s">
        <v>164</v>
      </c>
      <c r="G25" s="81">
        <v>13</v>
      </c>
      <c r="H25" s="87"/>
      <c r="I25" s="88">
        <f t="shared" si="0"/>
        <v>13</v>
      </c>
      <c r="J25" s="81">
        <v>53.79</v>
      </c>
      <c r="K25" s="90">
        <f t="shared" si="1"/>
        <v>67.7754</v>
      </c>
      <c r="L25" s="89">
        <f t="shared" si="2"/>
        <v>881.0802000000001</v>
      </c>
    </row>
    <row r="26" spans="1:15" ht="12.75">
      <c r="A26" s="78" t="s">
        <v>186</v>
      </c>
      <c r="B26" s="80" t="s">
        <v>187</v>
      </c>
      <c r="C26" s="220" t="s">
        <v>188</v>
      </c>
      <c r="D26" s="220"/>
      <c r="E26" s="80"/>
      <c r="F26" s="81" t="s">
        <v>23</v>
      </c>
      <c r="G26" s="81">
        <v>538.56</v>
      </c>
      <c r="H26" s="87">
        <f>60+478.56</f>
        <v>538.56</v>
      </c>
      <c r="I26" s="88">
        <f t="shared" si="0"/>
        <v>0</v>
      </c>
      <c r="J26" s="81">
        <v>13.95</v>
      </c>
      <c r="K26" s="90">
        <f t="shared" si="1"/>
        <v>17.576999999999998</v>
      </c>
      <c r="L26" s="89">
        <f t="shared" si="2"/>
        <v>9466.269119999997</v>
      </c>
      <c r="M26" s="103">
        <f>H26*K26</f>
        <v>9466.269119999997</v>
      </c>
      <c r="N26" s="61">
        <f>SUM(L21:L26)</f>
        <v>33379.95011399999</v>
      </c>
      <c r="O26" s="102">
        <f>M26/N26</f>
        <v>0.28359146995937895</v>
      </c>
    </row>
    <row r="27" spans="1:12" ht="12.75">
      <c r="A27" s="78"/>
      <c r="B27" s="80"/>
      <c r="C27" s="220"/>
      <c r="D27" s="220"/>
      <c r="E27" s="80"/>
      <c r="F27" s="81"/>
      <c r="G27" s="81"/>
      <c r="H27" s="87"/>
      <c r="I27" s="88">
        <f t="shared" si="0"/>
        <v>0</v>
      </c>
      <c r="J27" s="81"/>
      <c r="K27" s="90"/>
      <c r="L27" s="89"/>
    </row>
    <row r="28" spans="1:12" s="109" customFormat="1" ht="12.75">
      <c r="A28" s="104">
        <v>4</v>
      </c>
      <c r="B28" s="105"/>
      <c r="C28" s="264" t="s">
        <v>189</v>
      </c>
      <c r="D28" s="264"/>
      <c r="E28" s="105"/>
      <c r="F28" s="106"/>
      <c r="G28" s="106"/>
      <c r="H28" s="106"/>
      <c r="I28" s="106">
        <f t="shared" si="0"/>
        <v>0</v>
      </c>
      <c r="J28" s="106"/>
      <c r="K28" s="107"/>
      <c r="L28" s="108"/>
    </row>
    <row r="29" spans="1:12" ht="12.75">
      <c r="A29" s="78" t="s">
        <v>119</v>
      </c>
      <c r="B29" s="80"/>
      <c r="C29" s="220" t="s">
        <v>190</v>
      </c>
      <c r="D29" s="220"/>
      <c r="E29" s="80"/>
      <c r="F29" s="81"/>
      <c r="G29" s="81"/>
      <c r="H29" s="87"/>
      <c r="I29" s="88">
        <f t="shared" si="0"/>
        <v>0</v>
      </c>
      <c r="J29" s="81"/>
      <c r="K29" s="90"/>
      <c r="L29" s="89"/>
    </row>
    <row r="30" spans="1:13" ht="29.25" customHeight="1">
      <c r="A30" s="78" t="s">
        <v>75</v>
      </c>
      <c r="B30" s="80" t="s">
        <v>191</v>
      </c>
      <c r="C30" s="219" t="s">
        <v>192</v>
      </c>
      <c r="D30" s="219"/>
      <c r="E30" s="80"/>
      <c r="F30" s="81" t="s">
        <v>164</v>
      </c>
      <c r="G30" s="81">
        <v>1</v>
      </c>
      <c r="H30" s="87">
        <f>1</f>
        <v>1</v>
      </c>
      <c r="I30" s="88">
        <f t="shared" si="0"/>
        <v>0</v>
      </c>
      <c r="J30" s="81">
        <v>19.32</v>
      </c>
      <c r="K30" s="90">
        <f t="shared" si="1"/>
        <v>24.3432</v>
      </c>
      <c r="L30" s="89">
        <f t="shared" si="2"/>
        <v>24.3432</v>
      </c>
      <c r="M30" s="103">
        <f>H30*K30</f>
        <v>24.3432</v>
      </c>
    </row>
    <row r="31" spans="1:13" ht="15" customHeight="1">
      <c r="A31" s="78" t="s">
        <v>76</v>
      </c>
      <c r="B31" s="80" t="s">
        <v>193</v>
      </c>
      <c r="C31" s="219" t="s">
        <v>194</v>
      </c>
      <c r="D31" s="219"/>
      <c r="E31" s="80"/>
      <c r="F31" s="81" t="s">
        <v>164</v>
      </c>
      <c r="G31" s="81">
        <v>1</v>
      </c>
      <c r="H31" s="87">
        <f>1</f>
        <v>1</v>
      </c>
      <c r="I31" s="88">
        <f t="shared" si="0"/>
        <v>0</v>
      </c>
      <c r="J31" s="81">
        <v>8121.89</v>
      </c>
      <c r="K31" s="90">
        <f t="shared" si="1"/>
        <v>10233.581400000001</v>
      </c>
      <c r="L31" s="89">
        <f t="shared" si="2"/>
        <v>10233.581400000001</v>
      </c>
      <c r="M31" s="103">
        <f aca="true" t="shared" si="3" ref="M31:M40">H31*K31</f>
        <v>10233.581400000001</v>
      </c>
    </row>
    <row r="32" spans="1:13" ht="12.75">
      <c r="A32" s="78" t="s">
        <v>77</v>
      </c>
      <c r="B32" s="80" t="s">
        <v>195</v>
      </c>
      <c r="C32" s="216" t="s">
        <v>196</v>
      </c>
      <c r="D32" s="216"/>
      <c r="E32" s="80"/>
      <c r="F32" s="81" t="s">
        <v>164</v>
      </c>
      <c r="G32" s="81">
        <v>4</v>
      </c>
      <c r="H32" s="87">
        <f>4</f>
        <v>4</v>
      </c>
      <c r="I32" s="88">
        <f t="shared" si="0"/>
        <v>0</v>
      </c>
      <c r="J32" s="81">
        <v>17.65</v>
      </c>
      <c r="K32" s="90">
        <f t="shared" si="1"/>
        <v>22.238999999999997</v>
      </c>
      <c r="L32" s="89">
        <f t="shared" si="2"/>
        <v>88.95599999999999</v>
      </c>
      <c r="M32" s="103">
        <f t="shared" si="3"/>
        <v>88.95599999999999</v>
      </c>
    </row>
    <row r="33" spans="1:13" ht="12.75">
      <c r="A33" s="78" t="s">
        <v>197</v>
      </c>
      <c r="B33" s="80" t="s">
        <v>198</v>
      </c>
      <c r="C33" s="216" t="s">
        <v>199</v>
      </c>
      <c r="D33" s="216"/>
      <c r="E33" s="80"/>
      <c r="F33" s="81" t="s">
        <v>164</v>
      </c>
      <c r="G33" s="81">
        <v>2</v>
      </c>
      <c r="H33" s="87">
        <f>2</f>
        <v>2</v>
      </c>
      <c r="I33" s="88">
        <f t="shared" si="0"/>
        <v>0</v>
      </c>
      <c r="J33" s="81">
        <v>46.43</v>
      </c>
      <c r="K33" s="90">
        <f t="shared" si="1"/>
        <v>58.5018</v>
      </c>
      <c r="L33" s="89">
        <f t="shared" si="2"/>
        <v>117.0036</v>
      </c>
      <c r="M33" s="103">
        <f t="shared" si="3"/>
        <v>117.0036</v>
      </c>
    </row>
    <row r="34" spans="1:13" ht="12.75">
      <c r="A34" s="78" t="s">
        <v>200</v>
      </c>
      <c r="B34" s="80" t="s">
        <v>201</v>
      </c>
      <c r="C34" s="216" t="s">
        <v>202</v>
      </c>
      <c r="D34" s="216"/>
      <c r="E34" s="80"/>
      <c r="F34" s="81" t="s">
        <v>203</v>
      </c>
      <c r="G34" s="81">
        <v>2</v>
      </c>
      <c r="H34" s="87">
        <f>2</f>
        <v>2</v>
      </c>
      <c r="I34" s="88">
        <f t="shared" si="0"/>
        <v>0</v>
      </c>
      <c r="J34" s="81">
        <v>50.73</v>
      </c>
      <c r="K34" s="90">
        <f t="shared" si="1"/>
        <v>63.919799999999995</v>
      </c>
      <c r="L34" s="89">
        <f t="shared" si="2"/>
        <v>127.83959999999999</v>
      </c>
      <c r="M34" s="103">
        <f t="shared" si="3"/>
        <v>127.83959999999999</v>
      </c>
    </row>
    <row r="35" spans="1:13" ht="12.75">
      <c r="A35" s="78" t="s">
        <v>204</v>
      </c>
      <c r="B35" s="80" t="s">
        <v>205</v>
      </c>
      <c r="C35" s="216" t="s">
        <v>206</v>
      </c>
      <c r="D35" s="216"/>
      <c r="E35" s="80"/>
      <c r="F35" s="81" t="s">
        <v>23</v>
      </c>
      <c r="G35" s="81">
        <v>42</v>
      </c>
      <c r="H35" s="87">
        <f>42</f>
        <v>42</v>
      </c>
      <c r="I35" s="88">
        <f t="shared" si="0"/>
        <v>0</v>
      </c>
      <c r="J35" s="81">
        <v>14.15</v>
      </c>
      <c r="K35" s="90">
        <f t="shared" si="1"/>
        <v>17.829</v>
      </c>
      <c r="L35" s="89">
        <f t="shared" si="2"/>
        <v>748.818</v>
      </c>
      <c r="M35" s="103">
        <f t="shared" si="3"/>
        <v>748.818</v>
      </c>
    </row>
    <row r="36" spans="1:13" ht="12.75">
      <c r="A36" s="78" t="s">
        <v>207</v>
      </c>
      <c r="B36" s="80" t="s">
        <v>208</v>
      </c>
      <c r="C36" s="216" t="s">
        <v>209</v>
      </c>
      <c r="D36" s="216"/>
      <c r="E36" s="80"/>
      <c r="F36" s="81" t="s">
        <v>23</v>
      </c>
      <c r="G36" s="81">
        <v>20</v>
      </c>
      <c r="H36" s="87">
        <f>20</f>
        <v>20</v>
      </c>
      <c r="I36" s="88">
        <f t="shared" si="0"/>
        <v>0</v>
      </c>
      <c r="J36" s="81">
        <v>10.22</v>
      </c>
      <c r="K36" s="90">
        <f t="shared" si="1"/>
        <v>12.877200000000002</v>
      </c>
      <c r="L36" s="89">
        <f t="shared" si="2"/>
        <v>257.54400000000004</v>
      </c>
      <c r="M36" s="103">
        <f t="shared" si="3"/>
        <v>257.54400000000004</v>
      </c>
    </row>
    <row r="37" spans="1:13" ht="12.75">
      <c r="A37" s="78" t="s">
        <v>210</v>
      </c>
      <c r="B37" s="80" t="s">
        <v>211</v>
      </c>
      <c r="C37" s="216" t="s">
        <v>212</v>
      </c>
      <c r="D37" s="216"/>
      <c r="E37" s="80"/>
      <c r="F37" s="81" t="s">
        <v>23</v>
      </c>
      <c r="G37" s="81">
        <v>24</v>
      </c>
      <c r="H37" s="87">
        <f>24</f>
        <v>24</v>
      </c>
      <c r="I37" s="88">
        <f t="shared" si="0"/>
        <v>0</v>
      </c>
      <c r="J37" s="81">
        <v>17.81</v>
      </c>
      <c r="K37" s="90">
        <f t="shared" si="1"/>
        <v>22.440599999999996</v>
      </c>
      <c r="L37" s="89">
        <f t="shared" si="2"/>
        <v>538.5744</v>
      </c>
      <c r="M37" s="103">
        <f t="shared" si="3"/>
        <v>538.5744</v>
      </c>
    </row>
    <row r="38" spans="1:13" ht="12.75">
      <c r="A38" s="78" t="s">
        <v>213</v>
      </c>
      <c r="B38" s="80" t="s">
        <v>214</v>
      </c>
      <c r="C38" s="216" t="s">
        <v>215</v>
      </c>
      <c r="D38" s="216"/>
      <c r="E38" s="80"/>
      <c r="F38" s="81" t="s">
        <v>23</v>
      </c>
      <c r="G38" s="81">
        <v>178.39</v>
      </c>
      <c r="H38" s="87">
        <f>178.39</f>
        <v>178.39</v>
      </c>
      <c r="I38" s="88">
        <f t="shared" si="0"/>
        <v>0</v>
      </c>
      <c r="J38" s="81">
        <v>20.42</v>
      </c>
      <c r="K38" s="90">
        <f t="shared" si="1"/>
        <v>25.729200000000002</v>
      </c>
      <c r="L38" s="89">
        <f t="shared" si="2"/>
        <v>4589.831988</v>
      </c>
      <c r="M38" s="103">
        <f t="shared" si="3"/>
        <v>4589.831988</v>
      </c>
    </row>
    <row r="39" spans="1:13" ht="12.75">
      <c r="A39" s="78" t="s">
        <v>216</v>
      </c>
      <c r="B39" s="117" t="s">
        <v>217</v>
      </c>
      <c r="C39" s="265" t="s">
        <v>218</v>
      </c>
      <c r="D39" s="216"/>
      <c r="E39" s="80"/>
      <c r="F39" s="81" t="s">
        <v>164</v>
      </c>
      <c r="G39" s="81">
        <v>1</v>
      </c>
      <c r="H39" s="87"/>
      <c r="I39" s="88">
        <f t="shared" si="0"/>
        <v>1</v>
      </c>
      <c r="J39" s="81">
        <v>884.76</v>
      </c>
      <c r="K39" s="90">
        <f t="shared" si="1"/>
        <v>1114.7975999999999</v>
      </c>
      <c r="L39" s="89">
        <f t="shared" si="2"/>
        <v>1114.7975999999999</v>
      </c>
      <c r="M39" s="103">
        <f t="shared" si="3"/>
        <v>0</v>
      </c>
    </row>
    <row r="40" spans="1:13" ht="12.75">
      <c r="A40" s="78" t="s">
        <v>219</v>
      </c>
      <c r="B40" s="80" t="s">
        <v>220</v>
      </c>
      <c r="C40" s="216" t="s">
        <v>221</v>
      </c>
      <c r="D40" s="216"/>
      <c r="E40" s="80"/>
      <c r="F40" s="81" t="s">
        <v>164</v>
      </c>
      <c r="G40" s="81">
        <v>16</v>
      </c>
      <c r="H40" s="87">
        <f>16</f>
        <v>16</v>
      </c>
      <c r="I40" s="88">
        <f t="shared" si="0"/>
        <v>0</v>
      </c>
      <c r="J40" s="81">
        <v>30.59</v>
      </c>
      <c r="K40" s="90">
        <f t="shared" si="1"/>
        <v>38.5434</v>
      </c>
      <c r="L40" s="89">
        <f t="shared" si="2"/>
        <v>616.6944</v>
      </c>
      <c r="M40" s="103">
        <f t="shared" si="3"/>
        <v>616.6944</v>
      </c>
    </row>
    <row r="41" spans="1:16" ht="12.75">
      <c r="A41" s="80"/>
      <c r="B41" s="80"/>
      <c r="C41" s="216"/>
      <c r="D41" s="216"/>
      <c r="E41" s="80"/>
      <c r="F41" s="80"/>
      <c r="G41" s="81"/>
      <c r="H41" s="87"/>
      <c r="I41" s="88">
        <f t="shared" si="0"/>
        <v>0</v>
      </c>
      <c r="J41" s="81"/>
      <c r="K41" s="90"/>
      <c r="L41" s="89"/>
      <c r="M41" s="103">
        <f>SUM(M30:M40)</f>
        <v>17343.186587999997</v>
      </c>
      <c r="N41" s="103">
        <f>SUM(L30:L40)</f>
        <v>18457.984187999995</v>
      </c>
      <c r="O41" s="102">
        <f>M41/N41</f>
        <v>0.9396035022760093</v>
      </c>
      <c r="P41" s="102">
        <f>O41/2</f>
        <v>0.46980175113800465</v>
      </c>
    </row>
    <row r="42" spans="1:15" s="109" customFormat="1" ht="12.75">
      <c r="A42" s="106">
        <v>5</v>
      </c>
      <c r="B42" s="105"/>
      <c r="C42" s="263" t="s">
        <v>222</v>
      </c>
      <c r="D42" s="263"/>
      <c r="E42" s="105"/>
      <c r="F42" s="105"/>
      <c r="G42" s="106"/>
      <c r="H42" s="106"/>
      <c r="I42" s="106">
        <f t="shared" si="0"/>
        <v>0</v>
      </c>
      <c r="J42" s="106"/>
      <c r="K42" s="107"/>
      <c r="L42" s="108"/>
      <c r="O42" s="116">
        <f>O41-0.4</f>
        <v>0.5396035022760093</v>
      </c>
    </row>
    <row r="43" spans="1:16" ht="12.75">
      <c r="A43" s="78" t="s">
        <v>223</v>
      </c>
      <c r="B43" s="80"/>
      <c r="C43" s="216" t="s">
        <v>224</v>
      </c>
      <c r="D43" s="216"/>
      <c r="E43" s="80"/>
      <c r="F43" s="80"/>
      <c r="G43" s="81"/>
      <c r="H43" s="87"/>
      <c r="I43" s="88">
        <f t="shared" si="0"/>
        <v>0</v>
      </c>
      <c r="J43" s="81"/>
      <c r="K43" s="90"/>
      <c r="L43" s="89"/>
      <c r="P43">
        <f>46.98*2</f>
        <v>93.96</v>
      </c>
    </row>
    <row r="44" spans="1:13" ht="12.75">
      <c r="A44" s="78" t="s">
        <v>225</v>
      </c>
      <c r="B44" s="80" t="s">
        <v>122</v>
      </c>
      <c r="C44" s="216" t="s">
        <v>226</v>
      </c>
      <c r="D44" s="216"/>
      <c r="E44" s="80"/>
      <c r="F44" s="81" t="s">
        <v>23</v>
      </c>
      <c r="G44" s="81">
        <v>240</v>
      </c>
      <c r="H44" s="87">
        <f>240</f>
        <v>240</v>
      </c>
      <c r="I44" s="88">
        <f t="shared" si="0"/>
        <v>0</v>
      </c>
      <c r="J44" s="81">
        <v>10.58</v>
      </c>
      <c r="K44" s="90">
        <f t="shared" si="1"/>
        <v>13.3308</v>
      </c>
      <c r="L44" s="89">
        <f t="shared" si="2"/>
        <v>3199.392</v>
      </c>
      <c r="M44" s="103">
        <f>H44*K44</f>
        <v>3199.392</v>
      </c>
    </row>
    <row r="45" spans="1:13" ht="12.75">
      <c r="A45" s="78" t="s">
        <v>227</v>
      </c>
      <c r="B45" s="80" t="s">
        <v>228</v>
      </c>
      <c r="C45" s="216" t="s">
        <v>229</v>
      </c>
      <c r="D45" s="216"/>
      <c r="E45" s="80"/>
      <c r="F45" s="81" t="s">
        <v>23</v>
      </c>
      <c r="G45" s="81">
        <v>120</v>
      </c>
      <c r="H45" s="87">
        <f>120</f>
        <v>120</v>
      </c>
      <c r="I45" s="88">
        <f t="shared" si="0"/>
        <v>0</v>
      </c>
      <c r="J45" s="81">
        <v>11.03</v>
      </c>
      <c r="K45" s="90">
        <f t="shared" si="1"/>
        <v>13.8978</v>
      </c>
      <c r="L45" s="89">
        <f t="shared" si="2"/>
        <v>1667.736</v>
      </c>
      <c r="M45" s="103">
        <f aca="true" t="shared" si="4" ref="M45:M63">H45*K45</f>
        <v>1667.736</v>
      </c>
    </row>
    <row r="46" spans="1:13" ht="12.75">
      <c r="A46" s="78" t="s">
        <v>230</v>
      </c>
      <c r="B46" s="80" t="s">
        <v>136</v>
      </c>
      <c r="C46" s="216" t="s">
        <v>231</v>
      </c>
      <c r="D46" s="216"/>
      <c r="E46" s="80"/>
      <c r="F46" s="81" t="s">
        <v>164</v>
      </c>
      <c r="G46" s="81">
        <v>1</v>
      </c>
      <c r="H46" s="87">
        <f>G46</f>
        <v>1</v>
      </c>
      <c r="I46" s="88">
        <f t="shared" si="0"/>
        <v>0</v>
      </c>
      <c r="J46" s="81">
        <v>1546.05</v>
      </c>
      <c r="K46" s="90">
        <f t="shared" si="1"/>
        <v>1948.023</v>
      </c>
      <c r="L46" s="89">
        <f t="shared" si="2"/>
        <v>1948.023</v>
      </c>
      <c r="M46" s="103">
        <f t="shared" si="4"/>
        <v>1948.023</v>
      </c>
    </row>
    <row r="47" spans="1:13" ht="12.75">
      <c r="A47" s="78" t="s">
        <v>232</v>
      </c>
      <c r="B47" s="80" t="s">
        <v>233</v>
      </c>
      <c r="C47" s="216" t="s">
        <v>234</v>
      </c>
      <c r="D47" s="216"/>
      <c r="E47" s="80"/>
      <c r="F47" s="81" t="s">
        <v>164</v>
      </c>
      <c r="G47" s="81">
        <v>1</v>
      </c>
      <c r="H47" s="87">
        <f aca="true" t="shared" si="5" ref="H47:H62">G47</f>
        <v>1</v>
      </c>
      <c r="I47" s="88">
        <f t="shared" si="0"/>
        <v>0</v>
      </c>
      <c r="J47" s="81">
        <v>161.35</v>
      </c>
      <c r="K47" s="90">
        <f t="shared" si="1"/>
        <v>203.301</v>
      </c>
      <c r="L47" s="89">
        <f t="shared" si="2"/>
        <v>203.301</v>
      </c>
      <c r="M47" s="103">
        <f t="shared" si="4"/>
        <v>203.301</v>
      </c>
    </row>
    <row r="48" spans="1:13" ht="29.25" customHeight="1">
      <c r="A48" s="78" t="s">
        <v>235</v>
      </c>
      <c r="B48" s="80" t="s">
        <v>236</v>
      </c>
      <c r="C48" s="219" t="s">
        <v>237</v>
      </c>
      <c r="D48" s="219"/>
      <c r="E48" s="80"/>
      <c r="F48" s="81" t="s">
        <v>23</v>
      </c>
      <c r="G48" s="81">
        <v>260</v>
      </c>
      <c r="H48" s="87">
        <f t="shared" si="5"/>
        <v>260</v>
      </c>
      <c r="I48" s="88">
        <f t="shared" si="0"/>
        <v>0</v>
      </c>
      <c r="J48" s="81">
        <v>8.86</v>
      </c>
      <c r="K48" s="90">
        <f t="shared" si="1"/>
        <v>11.163599999999999</v>
      </c>
      <c r="L48" s="89">
        <f t="shared" si="2"/>
        <v>2902.5359999999996</v>
      </c>
      <c r="M48" s="103">
        <f t="shared" si="4"/>
        <v>2902.5359999999996</v>
      </c>
    </row>
    <row r="49" spans="1:13" ht="29.25" customHeight="1">
      <c r="A49" s="78" t="s">
        <v>238</v>
      </c>
      <c r="B49" s="80" t="s">
        <v>239</v>
      </c>
      <c r="C49" s="219" t="s">
        <v>240</v>
      </c>
      <c r="D49" s="219"/>
      <c r="E49" s="80"/>
      <c r="F49" s="81" t="s">
        <v>23</v>
      </c>
      <c r="G49" s="81">
        <v>10</v>
      </c>
      <c r="H49" s="87">
        <f t="shared" si="5"/>
        <v>10</v>
      </c>
      <c r="I49" s="88">
        <f t="shared" si="0"/>
        <v>0</v>
      </c>
      <c r="J49" s="81">
        <v>6.31</v>
      </c>
      <c r="K49" s="90">
        <f t="shared" si="1"/>
        <v>7.9506</v>
      </c>
      <c r="L49" s="89">
        <f t="shared" si="2"/>
        <v>79.506</v>
      </c>
      <c r="M49" s="103">
        <f t="shared" si="4"/>
        <v>79.506</v>
      </c>
    </row>
    <row r="50" spans="1:13" ht="12.75">
      <c r="A50" s="78" t="s">
        <v>241</v>
      </c>
      <c r="B50" s="80" t="s">
        <v>242</v>
      </c>
      <c r="C50" s="216" t="s">
        <v>243</v>
      </c>
      <c r="D50" s="216"/>
      <c r="E50" s="80"/>
      <c r="F50" s="81" t="s">
        <v>23</v>
      </c>
      <c r="G50" s="91">
        <v>1100</v>
      </c>
      <c r="H50" s="87">
        <f t="shared" si="5"/>
        <v>1100</v>
      </c>
      <c r="I50" s="88">
        <f t="shared" si="0"/>
        <v>0</v>
      </c>
      <c r="J50" s="81">
        <v>3.5</v>
      </c>
      <c r="K50" s="90">
        <f t="shared" si="1"/>
        <v>4.41</v>
      </c>
      <c r="L50" s="89">
        <f t="shared" si="2"/>
        <v>4851</v>
      </c>
      <c r="M50" s="103">
        <f t="shared" si="4"/>
        <v>4851</v>
      </c>
    </row>
    <row r="51" spans="1:13" ht="12.75">
      <c r="A51" s="78" t="s">
        <v>244</v>
      </c>
      <c r="B51" s="80" t="s">
        <v>245</v>
      </c>
      <c r="C51" s="216" t="s">
        <v>246</v>
      </c>
      <c r="D51" s="216"/>
      <c r="E51" s="80"/>
      <c r="F51" s="81" t="s">
        <v>23</v>
      </c>
      <c r="G51" s="81">
        <v>550</v>
      </c>
      <c r="H51" s="87">
        <f t="shared" si="5"/>
        <v>550</v>
      </c>
      <c r="I51" s="88">
        <f t="shared" si="0"/>
        <v>0</v>
      </c>
      <c r="J51" s="81">
        <v>3.5</v>
      </c>
      <c r="K51" s="90">
        <f t="shared" si="1"/>
        <v>4.41</v>
      </c>
      <c r="L51" s="89">
        <f t="shared" si="2"/>
        <v>2425.5</v>
      </c>
      <c r="M51" s="103">
        <f t="shared" si="4"/>
        <v>2425.5</v>
      </c>
    </row>
    <row r="52" spans="1:13" ht="12.75">
      <c r="A52" s="78" t="s">
        <v>247</v>
      </c>
      <c r="B52" s="80" t="s">
        <v>248</v>
      </c>
      <c r="C52" s="216" t="s">
        <v>249</v>
      </c>
      <c r="D52" s="216"/>
      <c r="E52" s="80"/>
      <c r="F52" s="81" t="s">
        <v>23</v>
      </c>
      <c r="G52" s="81">
        <v>550</v>
      </c>
      <c r="H52" s="87">
        <f t="shared" si="5"/>
        <v>550</v>
      </c>
      <c r="I52" s="88">
        <f t="shared" si="0"/>
        <v>0</v>
      </c>
      <c r="J52" s="81">
        <v>3</v>
      </c>
      <c r="K52" s="90">
        <f t="shared" si="1"/>
        <v>3.7800000000000002</v>
      </c>
      <c r="L52" s="89">
        <f t="shared" si="2"/>
        <v>2079</v>
      </c>
      <c r="M52" s="103">
        <f t="shared" si="4"/>
        <v>2079</v>
      </c>
    </row>
    <row r="53" spans="1:13" ht="12.75">
      <c r="A53" s="78" t="s">
        <v>250</v>
      </c>
      <c r="B53" s="80" t="s">
        <v>251</v>
      </c>
      <c r="C53" s="216" t="s">
        <v>252</v>
      </c>
      <c r="D53" s="216"/>
      <c r="E53" s="80"/>
      <c r="F53" s="81" t="s">
        <v>23</v>
      </c>
      <c r="G53" s="81">
        <v>300</v>
      </c>
      <c r="H53" s="87">
        <f t="shared" si="5"/>
        <v>300</v>
      </c>
      <c r="I53" s="88">
        <f t="shared" si="0"/>
        <v>0</v>
      </c>
      <c r="J53" s="81">
        <v>3.5</v>
      </c>
      <c r="K53" s="90">
        <f t="shared" si="1"/>
        <v>4.41</v>
      </c>
      <c r="L53" s="89">
        <f t="shared" si="2"/>
        <v>1323</v>
      </c>
      <c r="M53" s="103">
        <f t="shared" si="4"/>
        <v>1323</v>
      </c>
    </row>
    <row r="54" spans="1:13" ht="12.75">
      <c r="A54" s="78" t="s">
        <v>253</v>
      </c>
      <c r="B54" s="80" t="s">
        <v>254</v>
      </c>
      <c r="C54" s="216" t="s">
        <v>255</v>
      </c>
      <c r="D54" s="216"/>
      <c r="E54" s="80"/>
      <c r="F54" s="81" t="s">
        <v>164</v>
      </c>
      <c r="G54" s="81">
        <v>2</v>
      </c>
      <c r="H54" s="87">
        <f t="shared" si="5"/>
        <v>2</v>
      </c>
      <c r="I54" s="88">
        <f t="shared" si="0"/>
        <v>0</v>
      </c>
      <c r="J54" s="81">
        <v>60</v>
      </c>
      <c r="K54" s="90">
        <f t="shared" si="1"/>
        <v>75.6</v>
      </c>
      <c r="L54" s="89">
        <f t="shared" si="2"/>
        <v>151.2</v>
      </c>
      <c r="M54" s="103">
        <f t="shared" si="4"/>
        <v>151.2</v>
      </c>
    </row>
    <row r="55" spans="1:13" ht="12.75">
      <c r="A55" s="78" t="s">
        <v>256</v>
      </c>
      <c r="B55" s="80" t="s">
        <v>257</v>
      </c>
      <c r="C55" s="216" t="s">
        <v>258</v>
      </c>
      <c r="D55" s="216"/>
      <c r="E55" s="80"/>
      <c r="F55" s="81" t="s">
        <v>164</v>
      </c>
      <c r="G55" s="81">
        <v>6</v>
      </c>
      <c r="H55" s="87">
        <f t="shared" si="5"/>
        <v>6</v>
      </c>
      <c r="I55" s="88">
        <f t="shared" si="0"/>
        <v>0</v>
      </c>
      <c r="J55" s="81">
        <v>29.8</v>
      </c>
      <c r="K55" s="90">
        <f t="shared" si="1"/>
        <v>37.548</v>
      </c>
      <c r="L55" s="89">
        <f t="shared" si="2"/>
        <v>225.288</v>
      </c>
      <c r="M55" s="103">
        <f t="shared" si="4"/>
        <v>225.288</v>
      </c>
    </row>
    <row r="56" spans="1:13" ht="12.75">
      <c r="A56" s="78" t="s">
        <v>259</v>
      </c>
      <c r="B56" s="80" t="s">
        <v>260</v>
      </c>
      <c r="C56" s="216" t="s">
        <v>261</v>
      </c>
      <c r="D56" s="216"/>
      <c r="E56" s="80"/>
      <c r="F56" s="81" t="s">
        <v>164</v>
      </c>
      <c r="G56" s="81">
        <v>1</v>
      </c>
      <c r="H56" s="87">
        <f t="shared" si="5"/>
        <v>1</v>
      </c>
      <c r="I56" s="88">
        <f t="shared" si="0"/>
        <v>0</v>
      </c>
      <c r="J56" s="81">
        <v>29.8</v>
      </c>
      <c r="K56" s="90">
        <f t="shared" si="1"/>
        <v>37.548</v>
      </c>
      <c r="L56" s="89">
        <f t="shared" si="2"/>
        <v>37.548</v>
      </c>
      <c r="M56" s="103">
        <f t="shared" si="4"/>
        <v>37.548</v>
      </c>
    </row>
    <row r="57" spans="1:13" ht="12.75">
      <c r="A57" s="78" t="s">
        <v>262</v>
      </c>
      <c r="B57" s="80" t="s">
        <v>263</v>
      </c>
      <c r="C57" s="216" t="s">
        <v>264</v>
      </c>
      <c r="D57" s="216"/>
      <c r="E57" s="80"/>
      <c r="F57" s="81" t="s">
        <v>164</v>
      </c>
      <c r="G57" s="81">
        <v>2</v>
      </c>
      <c r="H57" s="87">
        <f t="shared" si="5"/>
        <v>2</v>
      </c>
      <c r="I57" s="88">
        <f t="shared" si="0"/>
        <v>0</v>
      </c>
      <c r="J57" s="81">
        <v>15</v>
      </c>
      <c r="K57" s="90">
        <f t="shared" si="1"/>
        <v>18.9</v>
      </c>
      <c r="L57" s="89">
        <f t="shared" si="2"/>
        <v>37.8</v>
      </c>
      <c r="M57" s="103">
        <f t="shared" si="4"/>
        <v>37.8</v>
      </c>
    </row>
    <row r="58" spans="1:13" ht="12.75">
      <c r="A58" s="78" t="s">
        <v>265</v>
      </c>
      <c r="B58" s="80" t="s">
        <v>266</v>
      </c>
      <c r="C58" s="216" t="s">
        <v>267</v>
      </c>
      <c r="D58" s="216"/>
      <c r="E58" s="80"/>
      <c r="F58" s="81" t="s">
        <v>164</v>
      </c>
      <c r="G58" s="81">
        <v>6</v>
      </c>
      <c r="H58" s="87">
        <f t="shared" si="5"/>
        <v>6</v>
      </c>
      <c r="I58" s="88">
        <f t="shared" si="0"/>
        <v>0</v>
      </c>
      <c r="J58" s="81">
        <v>56.69</v>
      </c>
      <c r="K58" s="90">
        <f t="shared" si="1"/>
        <v>71.4294</v>
      </c>
      <c r="L58" s="89">
        <f t="shared" si="2"/>
        <v>428.57640000000004</v>
      </c>
      <c r="M58" s="103">
        <f t="shared" si="4"/>
        <v>428.57640000000004</v>
      </c>
    </row>
    <row r="59" spans="1:13" ht="12.75">
      <c r="A59" s="78" t="s">
        <v>268</v>
      </c>
      <c r="B59" s="80" t="s">
        <v>269</v>
      </c>
      <c r="C59" s="216" t="s">
        <v>270</v>
      </c>
      <c r="D59" s="216"/>
      <c r="E59" s="80"/>
      <c r="F59" s="81" t="s">
        <v>164</v>
      </c>
      <c r="G59" s="81">
        <v>10</v>
      </c>
      <c r="H59" s="87">
        <f t="shared" si="5"/>
        <v>10</v>
      </c>
      <c r="I59" s="88">
        <f t="shared" si="0"/>
        <v>0</v>
      </c>
      <c r="J59" s="81">
        <v>6</v>
      </c>
      <c r="K59" s="90">
        <f t="shared" si="1"/>
        <v>7.5600000000000005</v>
      </c>
      <c r="L59" s="89">
        <f t="shared" si="2"/>
        <v>75.60000000000001</v>
      </c>
      <c r="M59" s="103">
        <f t="shared" si="4"/>
        <v>75.60000000000001</v>
      </c>
    </row>
    <row r="60" spans="1:13" ht="12.75">
      <c r="A60" s="78" t="s">
        <v>271</v>
      </c>
      <c r="B60" s="80" t="s">
        <v>272</v>
      </c>
      <c r="C60" s="216" t="s">
        <v>273</v>
      </c>
      <c r="D60" s="216"/>
      <c r="E60" s="80"/>
      <c r="F60" s="81" t="s">
        <v>164</v>
      </c>
      <c r="G60" s="81">
        <v>8</v>
      </c>
      <c r="H60" s="87">
        <f t="shared" si="5"/>
        <v>8</v>
      </c>
      <c r="I60" s="88">
        <f t="shared" si="0"/>
        <v>0</v>
      </c>
      <c r="J60" s="81">
        <v>6.1</v>
      </c>
      <c r="K60" s="90">
        <f t="shared" si="1"/>
        <v>7.686</v>
      </c>
      <c r="L60" s="89">
        <f t="shared" si="2"/>
        <v>61.488</v>
      </c>
      <c r="M60" s="103">
        <f t="shared" si="4"/>
        <v>61.488</v>
      </c>
    </row>
    <row r="61" spans="1:13" ht="12.75">
      <c r="A61" s="78" t="s">
        <v>274</v>
      </c>
      <c r="B61" s="80" t="s">
        <v>275</v>
      </c>
      <c r="C61" s="216" t="s">
        <v>276</v>
      </c>
      <c r="D61" s="216"/>
      <c r="E61" s="80"/>
      <c r="F61" s="81" t="s">
        <v>164</v>
      </c>
      <c r="G61" s="81">
        <v>26</v>
      </c>
      <c r="H61" s="87">
        <f t="shared" si="5"/>
        <v>26</v>
      </c>
      <c r="I61" s="88">
        <f t="shared" si="0"/>
        <v>0</v>
      </c>
      <c r="J61" s="81">
        <v>11.45</v>
      </c>
      <c r="K61" s="90">
        <f t="shared" si="1"/>
        <v>14.427</v>
      </c>
      <c r="L61" s="89">
        <f t="shared" si="2"/>
        <v>375.102</v>
      </c>
      <c r="M61" s="103">
        <f t="shared" si="4"/>
        <v>375.102</v>
      </c>
    </row>
    <row r="62" spans="1:13" ht="12.75">
      <c r="A62" s="78" t="s">
        <v>277</v>
      </c>
      <c r="B62" s="80" t="s">
        <v>138</v>
      </c>
      <c r="C62" s="216" t="s">
        <v>278</v>
      </c>
      <c r="D62" s="216"/>
      <c r="E62" s="80"/>
      <c r="F62" s="81" t="s">
        <v>164</v>
      </c>
      <c r="G62" s="81">
        <v>6</v>
      </c>
      <c r="H62" s="87">
        <f t="shared" si="5"/>
        <v>6</v>
      </c>
      <c r="I62" s="88">
        <f t="shared" si="0"/>
        <v>0</v>
      </c>
      <c r="J62" s="81">
        <v>40.9</v>
      </c>
      <c r="K62" s="90">
        <f t="shared" si="1"/>
        <v>51.534</v>
      </c>
      <c r="L62" s="89">
        <f t="shared" si="2"/>
        <v>309.204</v>
      </c>
      <c r="M62" s="103">
        <f t="shared" si="4"/>
        <v>309.204</v>
      </c>
    </row>
    <row r="63" spans="1:13" ht="30.75" customHeight="1">
      <c r="A63" s="78" t="s">
        <v>279</v>
      </c>
      <c r="B63" s="80" t="s">
        <v>280</v>
      </c>
      <c r="C63" s="219" t="s">
        <v>281</v>
      </c>
      <c r="D63" s="219"/>
      <c r="E63" s="80"/>
      <c r="F63" s="81" t="s">
        <v>164</v>
      </c>
      <c r="G63" s="81">
        <v>26</v>
      </c>
      <c r="H63" s="87"/>
      <c r="I63" s="88">
        <f t="shared" si="0"/>
        <v>26</v>
      </c>
      <c r="J63" s="81">
        <v>1389.11</v>
      </c>
      <c r="K63" s="90">
        <f t="shared" si="1"/>
        <v>1750.2785999999999</v>
      </c>
      <c r="L63" s="89">
        <f t="shared" si="2"/>
        <v>45507.243599999994</v>
      </c>
      <c r="M63" s="103">
        <f t="shared" si="4"/>
        <v>0</v>
      </c>
    </row>
    <row r="64" spans="1:15" ht="12.75">
      <c r="A64" s="80"/>
      <c r="B64" s="80"/>
      <c r="C64" s="216"/>
      <c r="D64" s="216"/>
      <c r="E64" s="80"/>
      <c r="F64" s="81"/>
      <c r="G64" s="81"/>
      <c r="H64" s="87"/>
      <c r="I64" s="88">
        <f t="shared" si="0"/>
        <v>0</v>
      </c>
      <c r="J64" s="81"/>
      <c r="K64" s="90"/>
      <c r="L64" s="89"/>
      <c r="M64" s="103">
        <f>SUM(M44:M63)</f>
        <v>22380.8004</v>
      </c>
      <c r="N64" s="103">
        <f>SUM(L44:L63)</f>
        <v>67888.044</v>
      </c>
      <c r="O64" s="102">
        <f>M64/N64</f>
        <v>0.32967219382546953</v>
      </c>
    </row>
    <row r="65" spans="1:12" s="115" customFormat="1" ht="12.75">
      <c r="A65" s="111">
        <v>6</v>
      </c>
      <c r="B65" s="112"/>
      <c r="C65" s="266" t="s">
        <v>282</v>
      </c>
      <c r="D65" s="266"/>
      <c r="E65" s="112"/>
      <c r="F65" s="111"/>
      <c r="G65" s="111"/>
      <c r="H65" s="111"/>
      <c r="I65" s="111">
        <f t="shared" si="0"/>
        <v>0</v>
      </c>
      <c r="J65" s="111"/>
      <c r="K65" s="113"/>
      <c r="L65" s="114"/>
    </row>
    <row r="66" spans="1:12" ht="12.75">
      <c r="A66" s="78" t="s">
        <v>283</v>
      </c>
      <c r="B66" s="80"/>
      <c r="C66" s="216" t="s">
        <v>284</v>
      </c>
      <c r="D66" s="216"/>
      <c r="E66" s="80"/>
      <c r="F66" s="81"/>
      <c r="G66" s="81">
        <f>505.27</f>
        <v>505.27</v>
      </c>
      <c r="H66" s="87"/>
      <c r="I66" s="88">
        <f t="shared" si="0"/>
        <v>505.27</v>
      </c>
      <c r="J66" s="81"/>
      <c r="K66" s="90"/>
      <c r="L66" s="89"/>
    </row>
    <row r="67" spans="1:13" ht="30" customHeight="1">
      <c r="A67" s="78" t="s">
        <v>285</v>
      </c>
      <c r="B67" s="80" t="s">
        <v>85</v>
      </c>
      <c r="C67" s="219" t="s">
        <v>286</v>
      </c>
      <c r="D67" s="219"/>
      <c r="E67" s="80"/>
      <c r="F67" s="81" t="s">
        <v>160</v>
      </c>
      <c r="G67" s="91">
        <v>1099.76</v>
      </c>
      <c r="H67" s="92">
        <f>934.8+164.96</f>
        <v>1099.76</v>
      </c>
      <c r="I67" s="88">
        <f t="shared" si="0"/>
        <v>0</v>
      </c>
      <c r="J67" s="81">
        <v>37.25</v>
      </c>
      <c r="K67" s="90">
        <f t="shared" si="1"/>
        <v>46.935</v>
      </c>
      <c r="L67" s="89">
        <f t="shared" si="2"/>
        <v>51617.2356</v>
      </c>
      <c r="M67" s="103">
        <f>H67*K67</f>
        <v>51617.2356</v>
      </c>
    </row>
    <row r="68" spans="1:13" ht="30.75" customHeight="1">
      <c r="A68" s="78" t="s">
        <v>287</v>
      </c>
      <c r="B68" s="80" t="s">
        <v>288</v>
      </c>
      <c r="C68" s="219" t="s">
        <v>289</v>
      </c>
      <c r="D68" s="219"/>
      <c r="E68" s="80"/>
      <c r="F68" s="81" t="s">
        <v>160</v>
      </c>
      <c r="G68" s="81">
        <v>999.18</v>
      </c>
      <c r="H68" s="87">
        <v>505.27</v>
      </c>
      <c r="I68" s="88">
        <f t="shared" si="0"/>
        <v>493.90999999999997</v>
      </c>
      <c r="J68" s="81">
        <v>58.15</v>
      </c>
      <c r="K68" s="90">
        <f t="shared" si="1"/>
        <v>73.269</v>
      </c>
      <c r="L68" s="89">
        <f t="shared" si="2"/>
        <v>73208.91942</v>
      </c>
      <c r="M68" s="103">
        <f>H68*K68</f>
        <v>37020.62763</v>
      </c>
    </row>
    <row r="69" spans="1:15" ht="12.75">
      <c r="A69" s="80"/>
      <c r="B69" s="80"/>
      <c r="C69" s="217"/>
      <c r="D69" s="217"/>
      <c r="E69" s="80"/>
      <c r="F69" s="81"/>
      <c r="G69" s="81"/>
      <c r="H69" s="87"/>
      <c r="I69" s="88">
        <f t="shared" si="0"/>
        <v>0</v>
      </c>
      <c r="J69" s="81"/>
      <c r="K69" s="90"/>
      <c r="L69" s="89"/>
      <c r="M69" s="103">
        <f>SUM(M67:M68)</f>
        <v>88637.86323</v>
      </c>
      <c r="N69" s="103">
        <f>SUM(L67:L68)</f>
        <v>124826.15502</v>
      </c>
      <c r="O69" s="102">
        <f>M69/N69</f>
        <v>0.7100904711500422</v>
      </c>
    </row>
    <row r="70" spans="1:12" s="115" customFormat="1" ht="12.75">
      <c r="A70" s="111">
        <v>7</v>
      </c>
      <c r="B70" s="112"/>
      <c r="C70" s="266" t="s">
        <v>90</v>
      </c>
      <c r="D70" s="266"/>
      <c r="E70" s="112"/>
      <c r="F70" s="111"/>
      <c r="G70" s="111"/>
      <c r="H70" s="111"/>
      <c r="I70" s="111">
        <f t="shared" si="0"/>
        <v>0</v>
      </c>
      <c r="J70" s="111"/>
      <c r="K70" s="113"/>
      <c r="L70" s="114"/>
    </row>
    <row r="71" spans="1:12" ht="12.75">
      <c r="A71" s="78" t="s">
        <v>290</v>
      </c>
      <c r="B71" s="80"/>
      <c r="C71" s="216" t="s">
        <v>291</v>
      </c>
      <c r="D71" s="216"/>
      <c r="E71" s="80"/>
      <c r="F71" s="81"/>
      <c r="G71" s="81"/>
      <c r="H71" s="87"/>
      <c r="I71" s="88">
        <f t="shared" si="0"/>
        <v>0</v>
      </c>
      <c r="J71" s="81"/>
      <c r="K71" s="90"/>
      <c r="L71" s="89"/>
    </row>
    <row r="72" spans="1:13" ht="12.75">
      <c r="A72" s="78" t="s">
        <v>292</v>
      </c>
      <c r="B72" s="80" t="s">
        <v>293</v>
      </c>
      <c r="C72" s="216" t="s">
        <v>294</v>
      </c>
      <c r="D72" s="216"/>
      <c r="E72" s="80"/>
      <c r="F72" s="81" t="s">
        <v>160</v>
      </c>
      <c r="G72" s="81">
        <v>196.37</v>
      </c>
      <c r="H72" s="87">
        <f>196.37</f>
        <v>196.37</v>
      </c>
      <c r="I72" s="88">
        <f t="shared" si="0"/>
        <v>0</v>
      </c>
      <c r="J72" s="81">
        <v>30.32</v>
      </c>
      <c r="K72" s="90">
        <f t="shared" si="1"/>
        <v>38.2032</v>
      </c>
      <c r="L72" s="89">
        <f t="shared" si="2"/>
        <v>7501.962384</v>
      </c>
      <c r="M72" s="103">
        <f>H72*K72</f>
        <v>7501.962384</v>
      </c>
    </row>
    <row r="73" spans="1:13" ht="30.75" customHeight="1">
      <c r="A73" s="78" t="s">
        <v>295</v>
      </c>
      <c r="B73" s="80" t="s">
        <v>296</v>
      </c>
      <c r="C73" s="219" t="s">
        <v>297</v>
      </c>
      <c r="D73" s="219"/>
      <c r="E73" s="80"/>
      <c r="F73" s="81" t="s">
        <v>298</v>
      </c>
      <c r="G73" s="81">
        <v>14.55</v>
      </c>
      <c r="H73" s="87">
        <f>14.55</f>
        <v>14.55</v>
      </c>
      <c r="I73" s="88">
        <f t="shared" si="0"/>
        <v>0</v>
      </c>
      <c r="J73" s="81">
        <v>1130</v>
      </c>
      <c r="K73" s="90">
        <f t="shared" si="1"/>
        <v>1423.8</v>
      </c>
      <c r="L73" s="89">
        <f t="shared" si="2"/>
        <v>20716.29</v>
      </c>
      <c r="M73" s="103">
        <f aca="true" t="shared" si="6" ref="M73:M81">H73*K73</f>
        <v>20716.29</v>
      </c>
    </row>
    <row r="74" spans="1:13" ht="12.75">
      <c r="A74" s="78" t="s">
        <v>299</v>
      </c>
      <c r="B74" s="80" t="s">
        <v>300</v>
      </c>
      <c r="C74" s="216" t="s">
        <v>301</v>
      </c>
      <c r="D74" s="216"/>
      <c r="E74" s="80"/>
      <c r="F74" s="81" t="s">
        <v>298</v>
      </c>
      <c r="G74" s="81">
        <v>766.52</v>
      </c>
      <c r="H74" s="87">
        <f>766.52</f>
        <v>766.52</v>
      </c>
      <c r="I74" s="88">
        <f t="shared" si="0"/>
        <v>0</v>
      </c>
      <c r="J74" s="81">
        <v>25</v>
      </c>
      <c r="K74" s="90">
        <f t="shared" si="1"/>
        <v>31.5</v>
      </c>
      <c r="L74" s="89">
        <f t="shared" si="2"/>
        <v>24145.38</v>
      </c>
      <c r="M74" s="103">
        <f t="shared" si="6"/>
        <v>24145.38</v>
      </c>
    </row>
    <row r="75" spans="1:13" ht="12.75">
      <c r="A75" s="78" t="s">
        <v>302</v>
      </c>
      <c r="B75" s="80" t="s">
        <v>303</v>
      </c>
      <c r="C75" s="216" t="s">
        <v>304</v>
      </c>
      <c r="D75" s="216"/>
      <c r="E75" s="80"/>
      <c r="F75" s="81" t="s">
        <v>160</v>
      </c>
      <c r="G75" s="81">
        <v>232.74</v>
      </c>
      <c r="H75" s="87">
        <v>232.74</v>
      </c>
      <c r="I75" s="88">
        <f aca="true" t="shared" si="7" ref="I75:I81">G75-H75</f>
        <v>0</v>
      </c>
      <c r="J75" s="81">
        <v>3.59</v>
      </c>
      <c r="K75" s="90">
        <f aca="true" t="shared" si="8" ref="K75:K81">(J75*0.26)+J75</f>
        <v>4.5234</v>
      </c>
      <c r="L75" s="89">
        <f aca="true" t="shared" si="9" ref="L75:L81">G75*K75</f>
        <v>1052.776116</v>
      </c>
      <c r="M75" s="103">
        <f t="shared" si="6"/>
        <v>1052.776116</v>
      </c>
    </row>
    <row r="76" spans="1:13" ht="30.75" customHeight="1">
      <c r="A76" s="78" t="s">
        <v>305</v>
      </c>
      <c r="B76" s="80" t="s">
        <v>306</v>
      </c>
      <c r="C76" s="219" t="s">
        <v>307</v>
      </c>
      <c r="D76" s="219"/>
      <c r="E76" s="80"/>
      <c r="F76" s="81" t="s">
        <v>160</v>
      </c>
      <c r="G76" s="81">
        <v>232.74</v>
      </c>
      <c r="H76" s="87">
        <v>232.74</v>
      </c>
      <c r="I76" s="88">
        <f t="shared" si="7"/>
        <v>0</v>
      </c>
      <c r="J76" s="81">
        <v>21.12</v>
      </c>
      <c r="K76" s="90">
        <f t="shared" si="8"/>
        <v>26.6112</v>
      </c>
      <c r="L76" s="89">
        <f t="shared" si="9"/>
        <v>6193.490688</v>
      </c>
      <c r="M76" s="103">
        <f t="shared" si="6"/>
        <v>6193.490688</v>
      </c>
    </row>
    <row r="77" spans="1:13" ht="12.75">
      <c r="A77" s="78" t="s">
        <v>308</v>
      </c>
      <c r="B77" s="80" t="s">
        <v>91</v>
      </c>
      <c r="C77" s="220" t="s">
        <v>92</v>
      </c>
      <c r="D77" s="220"/>
      <c r="E77" s="80"/>
      <c r="F77" s="81" t="s">
        <v>160</v>
      </c>
      <c r="G77" s="81">
        <v>232.74</v>
      </c>
      <c r="H77" s="87">
        <f>G77</f>
        <v>232.74</v>
      </c>
      <c r="I77" s="88">
        <f t="shared" si="7"/>
        <v>0</v>
      </c>
      <c r="J77" s="81">
        <v>3.3</v>
      </c>
      <c r="K77" s="90">
        <f t="shared" si="8"/>
        <v>4.1579999999999995</v>
      </c>
      <c r="L77" s="89">
        <f t="shared" si="9"/>
        <v>967.7329199999999</v>
      </c>
      <c r="M77" s="103">
        <f t="shared" si="6"/>
        <v>967.7329199999999</v>
      </c>
    </row>
    <row r="78" spans="1:13" ht="33" customHeight="1">
      <c r="A78" s="78" t="s">
        <v>309</v>
      </c>
      <c r="B78" s="80" t="s">
        <v>93</v>
      </c>
      <c r="C78" s="219" t="s">
        <v>310</v>
      </c>
      <c r="D78" s="219"/>
      <c r="E78" s="80"/>
      <c r="F78" s="81" t="s">
        <v>160</v>
      </c>
      <c r="G78" s="81">
        <v>232.74</v>
      </c>
      <c r="H78" s="87">
        <f>G78</f>
        <v>232.74</v>
      </c>
      <c r="I78" s="88">
        <f t="shared" si="7"/>
        <v>0</v>
      </c>
      <c r="J78" s="81">
        <v>9.35</v>
      </c>
      <c r="K78" s="90">
        <f t="shared" si="8"/>
        <v>11.780999999999999</v>
      </c>
      <c r="L78" s="89">
        <f t="shared" si="9"/>
        <v>2741.90994</v>
      </c>
      <c r="M78" s="103">
        <f t="shared" si="6"/>
        <v>2741.90994</v>
      </c>
    </row>
    <row r="79" spans="1:13" ht="30.75" customHeight="1">
      <c r="A79" s="78" t="s">
        <v>311</v>
      </c>
      <c r="B79" s="80" t="s">
        <v>312</v>
      </c>
      <c r="C79" s="219" t="s">
        <v>313</v>
      </c>
      <c r="D79" s="219"/>
      <c r="E79" s="80"/>
      <c r="F79" s="81" t="s">
        <v>160</v>
      </c>
      <c r="G79" s="81">
        <v>564.37</v>
      </c>
      <c r="H79" s="87">
        <f>G79</f>
        <v>564.37</v>
      </c>
      <c r="I79" s="88">
        <f t="shared" si="7"/>
        <v>0</v>
      </c>
      <c r="J79" s="81">
        <v>29.75</v>
      </c>
      <c r="K79" s="90">
        <f t="shared" si="8"/>
        <v>37.485</v>
      </c>
      <c r="L79" s="89">
        <f t="shared" si="9"/>
        <v>21155.40945</v>
      </c>
      <c r="M79" s="103">
        <f t="shared" si="6"/>
        <v>21155.40945</v>
      </c>
    </row>
    <row r="80" spans="1:13" ht="30" customHeight="1">
      <c r="A80" s="78" t="s">
        <v>314</v>
      </c>
      <c r="B80" s="80" t="s">
        <v>315</v>
      </c>
      <c r="C80" s="219" t="s">
        <v>316</v>
      </c>
      <c r="D80" s="219"/>
      <c r="E80" s="80"/>
      <c r="F80" s="81" t="s">
        <v>298</v>
      </c>
      <c r="G80" s="81">
        <v>6.2</v>
      </c>
      <c r="H80" s="87">
        <v>6.2</v>
      </c>
      <c r="I80" s="88">
        <f t="shared" si="7"/>
        <v>0</v>
      </c>
      <c r="J80" s="81">
        <v>1771.35</v>
      </c>
      <c r="K80" s="90">
        <f t="shared" si="8"/>
        <v>2231.901</v>
      </c>
      <c r="L80" s="89">
        <f t="shared" si="9"/>
        <v>13837.786199999999</v>
      </c>
      <c r="M80" s="103">
        <f t="shared" si="6"/>
        <v>13837.786199999999</v>
      </c>
    </row>
    <row r="81" spans="1:13" ht="30" customHeight="1">
      <c r="A81" s="78" t="s">
        <v>317</v>
      </c>
      <c r="B81" s="80" t="s">
        <v>318</v>
      </c>
      <c r="C81" s="219" t="s">
        <v>319</v>
      </c>
      <c r="D81" s="219"/>
      <c r="E81" s="80"/>
      <c r="F81" s="81" t="s">
        <v>23</v>
      </c>
      <c r="G81" s="81">
        <v>139.66</v>
      </c>
      <c r="H81" s="87">
        <f>G81</f>
        <v>139.66</v>
      </c>
      <c r="I81" s="88">
        <f t="shared" si="7"/>
        <v>0</v>
      </c>
      <c r="J81" s="81">
        <v>273.15</v>
      </c>
      <c r="K81" s="90">
        <f t="shared" si="8"/>
        <v>344.169</v>
      </c>
      <c r="L81" s="89">
        <f t="shared" si="9"/>
        <v>48066.64253999999</v>
      </c>
      <c r="M81" s="103">
        <f t="shared" si="6"/>
        <v>48066.64253999999</v>
      </c>
    </row>
    <row r="82" spans="1:12" ht="12.75">
      <c r="A82" s="80"/>
      <c r="B82" s="80"/>
      <c r="C82" s="217"/>
      <c r="D82" s="217"/>
      <c r="E82" s="80"/>
      <c r="F82" s="80"/>
      <c r="G82" s="81"/>
      <c r="H82" s="87"/>
      <c r="I82" s="88"/>
      <c r="J82" s="81"/>
      <c r="K82" s="81"/>
      <c r="L82" s="89"/>
    </row>
    <row r="83" spans="1:15" ht="15">
      <c r="A83" s="218" t="s">
        <v>37</v>
      </c>
      <c r="B83" s="218"/>
      <c r="C83" s="218"/>
      <c r="D83" s="218"/>
      <c r="E83" s="218"/>
      <c r="F83" s="218"/>
      <c r="G83" s="218"/>
      <c r="H83" s="218"/>
      <c r="I83" s="218"/>
      <c r="J83" s="218"/>
      <c r="K83" s="218"/>
      <c r="L83" s="93">
        <v>415578.43</v>
      </c>
      <c r="M83" s="103">
        <f>SUM(M72:M81)</f>
        <v>146379.38023799998</v>
      </c>
      <c r="N83" s="61">
        <f>SUM(L72:L81)</f>
        <v>146379.38023799998</v>
      </c>
      <c r="O83" s="102">
        <f>M83/N83</f>
        <v>1</v>
      </c>
    </row>
    <row r="85" ht="12.75">
      <c r="L85">
        <v>308847.22</v>
      </c>
    </row>
    <row r="86" ht="12.75">
      <c r="L86" s="102">
        <f>L85/L83</f>
        <v>0.7431743269254855</v>
      </c>
    </row>
  </sheetData>
  <sheetProtection/>
  <mergeCells count="86">
    <mergeCell ref="C82:D82"/>
    <mergeCell ref="A83:K83"/>
    <mergeCell ref="C76:D76"/>
    <mergeCell ref="C77:D77"/>
    <mergeCell ref="C78:D78"/>
    <mergeCell ref="C79:D79"/>
    <mergeCell ref="C80:D80"/>
    <mergeCell ref="C81:D81"/>
    <mergeCell ref="C68:D68"/>
    <mergeCell ref="C69:D69"/>
    <mergeCell ref="C70:D70"/>
    <mergeCell ref="C71:D71"/>
    <mergeCell ref="C72:D72"/>
    <mergeCell ref="C73:D73"/>
    <mergeCell ref="C58:D58"/>
    <mergeCell ref="C59:D59"/>
    <mergeCell ref="C60:D60"/>
    <mergeCell ref="C61:D61"/>
    <mergeCell ref="C74:D74"/>
    <mergeCell ref="C75:D75"/>
    <mergeCell ref="C64:D64"/>
    <mergeCell ref="C65:D65"/>
    <mergeCell ref="C66:D66"/>
    <mergeCell ref="C67:D67"/>
    <mergeCell ref="C48:D48"/>
    <mergeCell ref="C49:D49"/>
    <mergeCell ref="C62:D62"/>
    <mergeCell ref="C63:D63"/>
    <mergeCell ref="C52:D52"/>
    <mergeCell ref="C53:D53"/>
    <mergeCell ref="C54:D54"/>
    <mergeCell ref="C55:D55"/>
    <mergeCell ref="C56:D56"/>
    <mergeCell ref="C57:D57"/>
    <mergeCell ref="C50:D50"/>
    <mergeCell ref="C51:D51"/>
    <mergeCell ref="C40:D40"/>
    <mergeCell ref="C41:D41"/>
    <mergeCell ref="C42:D42"/>
    <mergeCell ref="C43:D43"/>
    <mergeCell ref="C44:D44"/>
    <mergeCell ref="C45:D45"/>
    <mergeCell ref="C46:D46"/>
    <mergeCell ref="C47:D47"/>
    <mergeCell ref="C32:D32"/>
    <mergeCell ref="C33:D33"/>
    <mergeCell ref="C34:D34"/>
    <mergeCell ref="C35:D35"/>
    <mergeCell ref="C36:D36"/>
    <mergeCell ref="C37:D37"/>
    <mergeCell ref="C22:D22"/>
    <mergeCell ref="C23:D23"/>
    <mergeCell ref="C24:D24"/>
    <mergeCell ref="C25:D25"/>
    <mergeCell ref="C38:D38"/>
    <mergeCell ref="C39:D39"/>
    <mergeCell ref="C28:D28"/>
    <mergeCell ref="C29:D29"/>
    <mergeCell ref="C30:D30"/>
    <mergeCell ref="C31:D31"/>
    <mergeCell ref="C12:E12"/>
    <mergeCell ref="C13:E13"/>
    <mergeCell ref="C26:D26"/>
    <mergeCell ref="C27:D27"/>
    <mergeCell ref="C16:D16"/>
    <mergeCell ref="C17:D17"/>
    <mergeCell ref="C18:D18"/>
    <mergeCell ref="C19:D19"/>
    <mergeCell ref="C20:D20"/>
    <mergeCell ref="C21:D21"/>
    <mergeCell ref="C14:D14"/>
    <mergeCell ref="C15:D15"/>
    <mergeCell ref="D5:J6"/>
    <mergeCell ref="K5:L5"/>
    <mergeCell ref="K6:L6"/>
    <mergeCell ref="C7:E7"/>
    <mergeCell ref="C8:E8"/>
    <mergeCell ref="C9:E9"/>
    <mergeCell ref="C10:E10"/>
    <mergeCell ref="C11:E11"/>
    <mergeCell ref="D4:L4"/>
    <mergeCell ref="A1:L1"/>
    <mergeCell ref="A2:F2"/>
    <mergeCell ref="G2:L2"/>
    <mergeCell ref="A3:F3"/>
    <mergeCell ref="G3:L3"/>
  </mergeCells>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dc:creator>
  <cp:keywords/>
  <dc:description/>
  <cp:lastModifiedBy>Usuário do Windows</cp:lastModifiedBy>
  <cp:lastPrinted>2023-01-02T11:34:05Z</cp:lastPrinted>
  <dcterms:created xsi:type="dcterms:W3CDTF">2006-09-22T13:55:22Z</dcterms:created>
  <dcterms:modified xsi:type="dcterms:W3CDTF">2023-01-02T11:36:24Z</dcterms:modified>
  <cp:category/>
  <cp:version/>
  <cp:contentType/>
  <cp:contentStatus/>
</cp:coreProperties>
</file>